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7"/>
  </bookViews>
  <sheets>
    <sheet name="任务一" sheetId="1" r:id="rId1"/>
    <sheet name="任务二" sheetId="2" r:id="rId2"/>
    <sheet name="任务三" sheetId="3" r:id="rId3"/>
    <sheet name="任务四" sheetId="4" r:id="rId4"/>
    <sheet name="任务五" sheetId="5" r:id="rId5"/>
    <sheet name="任务六" sheetId="6" r:id="rId6"/>
    <sheet name="任务七" sheetId="7" r:id="rId7"/>
    <sheet name="任务八" sheetId="8" r:id="rId8"/>
  </sheets>
  <calcPr calcId="144525"/>
</workbook>
</file>

<file path=xl/sharedStrings.xml><?xml version="1.0" encoding="utf-8"?>
<sst xmlns="http://schemas.openxmlformats.org/spreadsheetml/2006/main" count="415" uniqueCount="274">
  <si>
    <t>折旧额计算</t>
  </si>
  <si>
    <t>经营期现金流预测</t>
  </si>
  <si>
    <t>项目</t>
  </si>
  <si>
    <t>金额/万元</t>
  </si>
  <si>
    <t>年份</t>
  </si>
  <si>
    <t>固定资产投资</t>
  </si>
  <si>
    <t>销量/万件</t>
  </si>
  <si>
    <t>资本化利息</t>
  </si>
  <si>
    <t>单价/元</t>
  </si>
  <si>
    <t>合计</t>
  </si>
  <si>
    <t>单位变动成本/元</t>
  </si>
  <si>
    <t>净残值率</t>
  </si>
  <si>
    <t>单位边际贡献/元</t>
  </si>
  <si>
    <t>应计折旧额</t>
  </si>
  <si>
    <t>边际贡献/万元</t>
  </si>
  <si>
    <t>年折旧额</t>
  </si>
  <si>
    <t>固定经营成本/万元</t>
  </si>
  <si>
    <t>折旧/万元</t>
  </si>
  <si>
    <t>息税前利润</t>
  </si>
  <si>
    <t>所得税率</t>
  </si>
  <si>
    <t>税后净利润</t>
  </si>
  <si>
    <t>净现金流入</t>
  </si>
  <si>
    <t>项目现金流量表   单位：万元</t>
  </si>
  <si>
    <t>投资额</t>
  </si>
  <si>
    <t>经营期净现金流入</t>
  </si>
  <si>
    <t>残值回收</t>
  </si>
  <si>
    <t>净现金流量</t>
  </si>
  <si>
    <t>贴现率</t>
  </si>
  <si>
    <t>现值系数</t>
  </si>
  <si>
    <t>现值</t>
  </si>
  <si>
    <t>NPV</t>
  </si>
  <si>
    <t>设净现值为零时第一年销量为x</t>
  </si>
  <si>
    <t>Q</t>
  </si>
  <si>
    <t>1.1Q</t>
  </si>
  <si>
    <t>1.21Q</t>
  </si>
  <si>
    <t>1.331Q</t>
  </si>
  <si>
    <t>8Q</t>
  </si>
  <si>
    <t>8.8Q</t>
  </si>
  <si>
    <t>9.68Q</t>
  </si>
  <si>
    <t>10.648Q</t>
  </si>
  <si>
    <t>8Q-69</t>
  </si>
  <si>
    <t>8.8Q-69</t>
  </si>
  <si>
    <t>9.68Q-69</t>
  </si>
  <si>
    <t>10.648Q-69</t>
  </si>
  <si>
    <t>所得税</t>
  </si>
  <si>
    <t>2Q-17.25</t>
  </si>
  <si>
    <t>2.2Q-17.25</t>
  </si>
  <si>
    <t>2.42Q-17.25</t>
  </si>
  <si>
    <t>2.662Q-17.25</t>
  </si>
  <si>
    <t>6Q-51.75</t>
  </si>
  <si>
    <t>6.6Q-51.75</t>
  </si>
  <si>
    <t>7.26Q-51.75</t>
  </si>
  <si>
    <t>7.986Q-51.75</t>
  </si>
  <si>
    <t>6Q-32.75</t>
  </si>
  <si>
    <t>6.6Q-32.75</t>
  </si>
  <si>
    <t>7.26Q-32.75</t>
  </si>
  <si>
    <t>7.986Q-32.75</t>
  </si>
  <si>
    <t>4.956Q-27.0515</t>
  </si>
  <si>
    <t>4.9566Q-24.59525</t>
  </si>
  <si>
    <t>4.95858Q-22.36825</t>
  </si>
  <si>
    <t>4.959306Q-20.33775</t>
  </si>
  <si>
    <t>4.504104Q-20.33775</t>
  </si>
  <si>
    <t>24.33459Q-112.82375</t>
  </si>
  <si>
    <t>项目净现值</t>
  </si>
  <si>
    <t>24.33459Q-112.82375-95=0</t>
  </si>
  <si>
    <t>Q=8.5403</t>
  </si>
  <si>
    <t>即第一年的销量至少为  /万件</t>
  </si>
  <si>
    <t>第一年的边际贡献/万元</t>
  </si>
  <si>
    <t>固定成本总额/万元</t>
  </si>
  <si>
    <t>第一年的息税前利润/万元</t>
  </si>
  <si>
    <t>第一年现金净流入/万元</t>
  </si>
  <si>
    <t>原设备年折旧分析</t>
  </si>
  <si>
    <t>旧设备还可以继续使用2年，继续使用旧设备的现金流分析</t>
  </si>
  <si>
    <t>原值</t>
  </si>
  <si>
    <t>残值</t>
  </si>
  <si>
    <t>投资</t>
  </si>
  <si>
    <t>折旧年限</t>
  </si>
  <si>
    <t>经营现金流</t>
  </si>
  <si>
    <t>年折旧</t>
  </si>
  <si>
    <t>净现金流</t>
  </si>
  <si>
    <t>三年累计折旧</t>
  </si>
  <si>
    <t>三年后设备账面价值</t>
  </si>
  <si>
    <t>净现值</t>
  </si>
  <si>
    <t>2年年金现值系数</t>
  </si>
  <si>
    <t>旧设备每年的经营现金流</t>
  </si>
  <si>
    <t>年均回收额</t>
  </si>
  <si>
    <t>销售量</t>
  </si>
  <si>
    <t>单价</t>
  </si>
  <si>
    <t>营业收入</t>
  </si>
  <si>
    <t>单位变动成本</t>
  </si>
  <si>
    <t>变动成本总额</t>
  </si>
  <si>
    <t>固定成本总额</t>
  </si>
  <si>
    <t>营业利润</t>
  </si>
  <si>
    <t>缴纳所得税</t>
  </si>
  <si>
    <t>投资250000元后设备年折旧分析</t>
  </si>
  <si>
    <t>改建后新设备现金流分析</t>
  </si>
  <si>
    <t>改建后设备价值</t>
  </si>
  <si>
    <t>期末残值</t>
  </si>
  <si>
    <t>预计使用年限</t>
  </si>
  <si>
    <t>改建后年经营现金流量</t>
  </si>
  <si>
    <t>5年年金现值系数</t>
  </si>
  <si>
    <t>旧设备和改建后旧设备的使用年限不同，年均回收额比较，发现改建后年均回收额小于旧设备年均回收额，所以不建议改进设备。</t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</si>
  <si>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8-2</t>
    </r>
    <r>
      <rPr>
        <sz val="9"/>
        <color rgb="FF000000"/>
        <rFont val="方正黑体_GBK"/>
        <charset val="134"/>
      </rPr>
      <t>产品成本构成表</t>
    </r>
    <r>
      <rPr>
        <sz val="9"/>
        <color rgb="FF000000"/>
        <rFont val="方正书宋_GBK"/>
        <charset val="134"/>
      </rPr>
      <t>单位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万元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</si>
  <si>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8-3</t>
    </r>
    <r>
      <rPr>
        <sz val="9"/>
        <color rgb="FF000000"/>
        <rFont val="方正黑体_GBK"/>
        <charset val="134"/>
      </rPr>
      <t>资项目营业投现金流量计算表</t>
    </r>
    <r>
      <rPr>
        <sz val="9"/>
        <color rgb="FF000000"/>
        <rFont val="方正书宋_GBK"/>
        <charset val="134"/>
      </rPr>
      <t>单位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元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</si>
  <si>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8-4</t>
    </r>
    <r>
      <rPr>
        <sz val="9"/>
        <color rgb="FF000000"/>
        <rFont val="方正黑体_GBK"/>
        <charset val="134"/>
      </rPr>
      <t>投资项目现金流量计算表</t>
    </r>
    <r>
      <rPr>
        <sz val="9"/>
        <color rgb="FF000000"/>
        <rFont val="方正书宋_GBK"/>
        <charset val="134"/>
      </rPr>
      <t>单位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元</t>
    </r>
  </si>
  <si>
    <r>
      <rPr>
        <sz val="9"/>
        <color rgb="FF000000"/>
        <rFont val="方正书宋_GBK"/>
        <charset val="134"/>
      </rPr>
      <t>项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目</t>
    </r>
  </si>
  <si>
    <r>
      <rPr>
        <sz val="9"/>
        <color rgb="FF000000"/>
        <rFont val="方正书宋_GBK"/>
        <charset val="134"/>
      </rPr>
      <t>金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额</t>
    </r>
  </si>
  <si>
    <t>项　目</t>
  </si>
  <si>
    <r>
      <t>第</t>
    </r>
    <r>
      <rPr>
        <sz val="9"/>
        <color rgb="FF000000"/>
        <rFont val="NEU-BZ-S92"/>
        <charset val="134"/>
      </rPr>
      <t>1</t>
    </r>
    <r>
      <rPr>
        <sz val="9"/>
        <color rgb="FF000000"/>
        <rFont val="方正书宋_GBK"/>
        <charset val="134"/>
      </rPr>
      <t>年</t>
    </r>
  </si>
  <si>
    <r>
      <rPr>
        <sz val="9"/>
        <color rgb="FF000000"/>
        <rFont val="方正书宋_GBK"/>
        <charset val="134"/>
      </rPr>
      <t>第</t>
    </r>
    <r>
      <rPr>
        <sz val="9"/>
        <color rgb="FF000000"/>
        <rFont val="NEU-BZ-S92"/>
        <charset val="134"/>
      </rPr>
      <t>2</t>
    </r>
    <r>
      <rPr>
        <sz val="9"/>
        <color rgb="FF000000"/>
        <rFont val="方正书宋_GBK"/>
        <charset val="134"/>
      </rPr>
      <t>年</t>
    </r>
  </si>
  <si>
    <r>
      <rPr>
        <sz val="9"/>
        <color rgb="FF000000"/>
        <rFont val="方正书宋_GBK"/>
        <charset val="134"/>
      </rPr>
      <t>第</t>
    </r>
    <r>
      <rPr>
        <sz val="9"/>
        <color rgb="FF000000"/>
        <rFont val="NEU-BZ-S92"/>
        <charset val="134"/>
      </rPr>
      <t>3</t>
    </r>
    <r>
      <rPr>
        <sz val="9"/>
        <color rgb="FF000000"/>
        <rFont val="方正书宋_GBK"/>
        <charset val="134"/>
      </rPr>
      <t>年</t>
    </r>
  </si>
  <si>
    <r>
      <rPr>
        <sz val="9"/>
        <color rgb="FF000000"/>
        <rFont val="方正书宋_GBK"/>
        <charset val="134"/>
      </rPr>
      <t>第</t>
    </r>
    <r>
      <rPr>
        <sz val="9"/>
        <color rgb="FF000000"/>
        <rFont val="NEU-BZ-S92"/>
        <charset val="134"/>
      </rPr>
      <t>4</t>
    </r>
    <r>
      <rPr>
        <sz val="9"/>
        <color rgb="FF000000"/>
        <rFont val="方正书宋_GBK"/>
        <charset val="134"/>
      </rPr>
      <t>年</t>
    </r>
  </si>
  <si>
    <r>
      <rPr>
        <sz val="9"/>
        <color rgb="FF000000"/>
        <rFont val="方正书宋_GBK"/>
        <charset val="134"/>
      </rPr>
      <t>第</t>
    </r>
    <r>
      <rPr>
        <sz val="9"/>
        <color rgb="FF000000"/>
        <rFont val="NEU-BZ-S92"/>
        <charset val="134"/>
      </rPr>
      <t>5</t>
    </r>
    <r>
      <rPr>
        <sz val="9"/>
        <color rgb="FF000000"/>
        <rFont val="方正书宋_GBK"/>
        <charset val="134"/>
      </rPr>
      <t>年</t>
    </r>
  </si>
  <si>
    <r>
      <rPr>
        <sz val="9"/>
        <color rgb="FF000000"/>
        <rFont val="方正书宋_GBK"/>
        <charset val="134"/>
      </rPr>
      <t>投资建设期</t>
    </r>
  </si>
  <si>
    <r>
      <rPr>
        <sz val="9"/>
        <color rgb="FF000000"/>
        <rFont val="方正书宋_GBK"/>
        <charset val="134"/>
      </rPr>
      <t>经营期</t>
    </r>
  </si>
  <si>
    <r>
      <rPr>
        <sz val="9"/>
        <color rgb="FF000000"/>
        <rFont val="方正书宋_GBK"/>
        <charset val="134"/>
      </rPr>
      <t>材料费用</t>
    </r>
  </si>
  <si>
    <r>
      <rPr>
        <sz val="9"/>
        <color rgb="FF000000"/>
        <rFont val="方正书宋_GBK"/>
        <charset val="134"/>
      </rPr>
      <t>销售收入</t>
    </r>
  </si>
  <si>
    <r>
      <rPr>
        <sz val="9"/>
        <color rgb="FF000000"/>
        <rFont val="方正书宋_GBK"/>
        <charset val="134"/>
      </rPr>
      <t>制造费用</t>
    </r>
  </si>
  <si>
    <r>
      <rPr>
        <sz val="9"/>
        <color rgb="FF000000"/>
        <rFont val="方正书宋_GBK"/>
        <charset val="134"/>
      </rPr>
      <t>现付成本</t>
    </r>
  </si>
  <si>
    <t>初始投资</t>
  </si>
  <si>
    <r>
      <rPr>
        <sz val="9"/>
        <color rgb="FF000000"/>
        <rFont val="方正书宋_GBK"/>
        <charset val="134"/>
      </rPr>
      <t>人工费用</t>
    </r>
  </si>
  <si>
    <r>
      <rPr>
        <sz val="9"/>
        <color rgb="FF000000"/>
        <rFont val="方正书宋_GBK"/>
        <charset val="134"/>
      </rPr>
      <t>其中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材料费用</t>
    </r>
  </si>
  <si>
    <r>
      <rPr>
        <sz val="9"/>
        <color rgb="FF000000"/>
        <rFont val="方正书宋_GBK"/>
        <charset val="134"/>
      </rPr>
      <t>流动资金投资</t>
    </r>
  </si>
  <si>
    <r>
      <rPr>
        <sz val="9"/>
        <color rgb="FF000000"/>
        <rFont val="方正书宋_GBK"/>
        <charset val="134"/>
      </rPr>
      <t>折旧费用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</si>
  <si>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人工费用</t>
    </r>
  </si>
  <si>
    <r>
      <rPr>
        <sz val="9"/>
        <color rgb="FF000000"/>
        <rFont val="方正书宋_GBK"/>
        <charset val="134"/>
      </rPr>
      <t>营业现金流量</t>
    </r>
  </si>
  <si>
    <r>
      <rPr>
        <sz val="9"/>
        <color rgb="FF000000"/>
        <rFont val="方正书宋_GBK"/>
        <charset val="134"/>
      </rPr>
      <t>　　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制造费用</t>
    </r>
  </si>
  <si>
    <r>
      <rPr>
        <sz val="9"/>
        <color rgb="FF000000"/>
        <rFont val="方正书宋_GBK"/>
        <charset val="134"/>
      </rPr>
      <t>设备残值</t>
    </r>
  </si>
  <si>
    <r>
      <rPr>
        <sz val="9"/>
        <color rgb="FF000000"/>
        <rFont val="方正书宋_GBK"/>
        <charset val="134"/>
      </rPr>
      <t>流动资金回收</t>
    </r>
  </si>
  <si>
    <r>
      <rPr>
        <sz val="9"/>
        <color rgb="FF000000"/>
        <rFont val="方正书宋_GBK"/>
        <charset val="134"/>
      </rPr>
      <t>税前利润</t>
    </r>
  </si>
  <si>
    <r>
      <rPr>
        <sz val="9"/>
        <color rgb="FF000000"/>
        <rFont val="方正书宋_GBK"/>
        <charset val="134"/>
      </rPr>
      <t>现金流量合计</t>
    </r>
  </si>
  <si>
    <r>
      <rPr>
        <sz val="9"/>
        <color rgb="FF000000"/>
        <rFont val="方正书宋_GBK"/>
        <charset val="134"/>
      </rPr>
      <t>所得税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NEU-BZ-S92"/>
        <charset val="134"/>
      </rPr>
      <t>25%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</si>
  <si>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税后利润</t>
    </r>
  </si>
  <si>
    <r>
      <rPr>
        <sz val="9"/>
        <color rgb="FF000000"/>
        <rFont val="方正书宋_GBK"/>
        <charset val="134"/>
      </rPr>
      <t>现金流量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</si>
  <si>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8-5</t>
    </r>
    <r>
      <rPr>
        <sz val="9"/>
        <color rgb="FF000000"/>
        <rFont val="方正黑体_GBK"/>
        <charset val="134"/>
      </rPr>
      <t>投资项目净现值计算表</t>
    </r>
  </si>
  <si>
    <t>调整后项目营业现金流量表</t>
  </si>
  <si>
    <r>
      <rPr>
        <sz val="9"/>
        <color rgb="FF000000"/>
        <rFont val="方正书宋_GBK"/>
        <charset val="134"/>
      </rPr>
      <t>时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间</t>
    </r>
  </si>
  <si>
    <r>
      <rPr>
        <sz val="9"/>
        <color rgb="FF000000"/>
        <rFont val="方正书宋_GBK"/>
        <charset val="134"/>
      </rPr>
      <t>现金流量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</si>
  <si>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NEU-BZ-S92"/>
        <charset val="134"/>
      </rPr>
      <t>10%</t>
    </r>
    <r>
      <rPr>
        <sz val="9"/>
        <color rgb="FF000000"/>
        <rFont val="NEU-BZ-S92"/>
        <charset val="134"/>
      </rPr>
      <t xml:space="preserve"> </t>
    </r>
    <r>
      <rPr>
        <sz val="9"/>
        <color rgb="FF000000"/>
        <rFont val="方正书宋_GBK"/>
        <charset val="134"/>
      </rPr>
      <t>贴现系数</t>
    </r>
  </si>
  <si>
    <r>
      <rPr>
        <sz val="9"/>
        <color rgb="FF000000"/>
        <rFont val="方正书宋_GBK"/>
        <charset val="134"/>
      </rPr>
      <t>现值</t>
    </r>
    <r>
      <rPr>
        <sz val="9"/>
        <color rgb="FF000000"/>
        <rFont val="方正书宋_GBK"/>
        <charset val="134"/>
      </rPr>
      <t>(</t>
    </r>
    <r>
      <rPr>
        <sz val="9"/>
        <color rgb="FF000000"/>
        <rFont val="方正书宋_GBK"/>
        <charset val="134"/>
      </rPr>
      <t>元</t>
    </r>
    <r>
      <rPr>
        <sz val="9"/>
        <color rgb="FF000000"/>
        <rFont val="方正书宋_GBK"/>
        <charset val="134"/>
      </rPr>
      <t>)</t>
    </r>
  </si>
  <si>
    <r>
      <rPr>
        <sz val="9"/>
        <color rgb="FF000000"/>
        <rFont val="方正书宋_GBK"/>
        <charset val="134"/>
      </rPr>
      <t>净现值</t>
    </r>
  </si>
  <si>
    <t>调整后投资项目现金流量计算表</t>
  </si>
  <si>
    <t>调整后项目投资净现值计算表</t>
  </si>
  <si>
    <t>净现值为负数，不适合投资。</t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</si>
  <si>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8-6</t>
    </r>
    <r>
      <rPr>
        <sz val="9"/>
        <color rgb="FF000000"/>
        <rFont val="方正黑体_GBK"/>
        <charset val="134"/>
      </rPr>
      <t>开发海浪牌产品后公司预计现金流量</t>
    </r>
    <r>
      <rPr>
        <sz val="9"/>
        <color rgb="FF000000"/>
        <rFont val="方正书宋_GBK"/>
        <charset val="134"/>
      </rPr>
      <t>单位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元</t>
    </r>
  </si>
  <si>
    <r>
      <rPr>
        <sz val="9"/>
        <color rgb="FF000000"/>
        <rFont val="方正黑体_GBK"/>
        <charset val="134"/>
      </rPr>
      <t>表</t>
    </r>
    <r>
      <rPr>
        <sz val="9"/>
        <color rgb="FF000000"/>
        <rFont val="NEU-HZ-S92"/>
        <charset val="134"/>
      </rPr>
      <t>8-7</t>
    </r>
    <r>
      <rPr>
        <sz val="9"/>
        <color rgb="FF000000"/>
        <rFont val="方正黑体_GBK"/>
        <charset val="134"/>
      </rPr>
      <t>开发海浪牌产品后公司增量现金流量</t>
    </r>
    <r>
      <rPr>
        <sz val="9"/>
        <color rgb="FF000000"/>
        <rFont val="方正书宋_GBK"/>
        <charset val="134"/>
      </rPr>
      <t>单位</t>
    </r>
    <r>
      <rPr>
        <sz val="9"/>
        <color rgb="FF000000"/>
        <rFont val="方正书宋_GBK"/>
        <charset val="134"/>
      </rPr>
      <t>:</t>
    </r>
    <r>
      <rPr>
        <sz val="9"/>
        <color rgb="FF000000"/>
        <rFont val="方正书宋_GBK"/>
        <charset val="134"/>
      </rPr>
      <t>元</t>
    </r>
  </si>
  <si>
    <r>
      <rPr>
        <sz val="9"/>
        <color rgb="FF000000"/>
        <rFont val="方正书宋_GBK"/>
        <charset val="134"/>
      </rPr>
      <t>年份</t>
    </r>
  </si>
  <si>
    <t>1.调研费不应该纳入项目现金流考虑，属于无关成本。</t>
  </si>
  <si>
    <t>2.流动资金追加属于项目占用资金，应该考虑</t>
  </si>
  <si>
    <t>3.使用剩余产能不用支付成本，因为没有机会成本</t>
  </si>
  <si>
    <t>4.用增量现金流量表分析</t>
  </si>
  <si>
    <t>5.开发海浪牌产品公司各年现金流量表分析</t>
  </si>
  <si>
    <t>金额</t>
  </si>
  <si>
    <t>＜</t>
  </si>
  <si>
    <t>IRR</t>
  </si>
  <si>
    <t>10%资金成本率</t>
  </si>
  <si>
    <t>PI</t>
  </si>
  <si>
    <t>静态投资回收期</t>
  </si>
  <si>
    <t>＞</t>
  </si>
  <si>
    <t>15/2=7.5</t>
  </si>
  <si>
    <t>投资回收期偏长</t>
  </si>
  <si>
    <t>综上，财务上该新产品不适合投资</t>
  </si>
  <si>
    <t>货运卡车的财务数据</t>
  </si>
  <si>
    <t>返程带货</t>
  </si>
  <si>
    <t>卡车购买价格/元</t>
  </si>
  <si>
    <t>每次收费/元</t>
  </si>
  <si>
    <t>卡车估计使用年限/年</t>
  </si>
  <si>
    <t>数量/车</t>
  </si>
  <si>
    <r>
      <t>卡车</t>
    </r>
    <r>
      <rPr>
        <sz val="9"/>
        <color rgb="FF000000"/>
        <rFont val="NEU-BZ-S92"/>
        <charset val="134"/>
      </rPr>
      <t>5</t>
    </r>
    <r>
      <rPr>
        <sz val="9"/>
        <color rgb="FF000000"/>
        <rFont val="方正书宋_GBK"/>
        <charset val="134"/>
      </rPr>
      <t>年后残值/元</t>
    </r>
  </si>
  <si>
    <t>运货装载量/千克</t>
  </si>
  <si>
    <t>卡车的现金使用成本 元/千米</t>
  </si>
  <si>
    <t>每年运货数量/千克</t>
  </si>
  <si>
    <t>每年运货次数/次</t>
  </si>
  <si>
    <t>每年行驶运输里程/千米</t>
  </si>
  <si>
    <t>每年运货成本/元</t>
  </si>
  <si>
    <t>每年返程带货收入/元</t>
  </si>
  <si>
    <t>每年运货净成本/元</t>
  </si>
  <si>
    <t>卡车年折旧/元</t>
  </si>
  <si>
    <t>运输年净现金流出/元</t>
  </si>
  <si>
    <t>未来五年每年现金流量分析</t>
  </si>
  <si>
    <t>卡车购置款/元</t>
  </si>
  <si>
    <t>运输现金成本/元</t>
  </si>
  <si>
    <t>现金净流出/元</t>
  </si>
  <si>
    <t>成本现值</t>
  </si>
  <si>
    <t>运输公司运送成本分析</t>
  </si>
  <si>
    <t>年运送数量/千克</t>
  </si>
  <si>
    <t>单位成本  元/千克</t>
  </si>
  <si>
    <t>年运送成本/元</t>
  </si>
  <si>
    <t>运输公司送货的成本现值大于购卡车运送的成本现值，所以购卡车划算。</t>
  </si>
  <si>
    <t>2.假设返程每年运货x车</t>
  </si>
  <si>
    <t>2400x</t>
  </si>
  <si>
    <t>每年货运净成本/元</t>
  </si>
  <si>
    <t>225000-2400x-30000=195000-2400x</t>
  </si>
  <si>
    <t>5年的年金现值系数</t>
  </si>
  <si>
    <t>卡车运送成本现值</t>
  </si>
  <si>
    <t>（195000-2400x）*2.991+150000</t>
  </si>
  <si>
    <t>要使采购卡车可行，则该方案的成本现值应该不超过运输公司运送的成本现值，可得</t>
  </si>
  <si>
    <t>（195000-2400x）*2.991+150000≤436130.94</t>
  </si>
  <si>
    <t>解方程</t>
  </si>
  <si>
    <t>x≥41.39</t>
  </si>
  <si>
    <t>所以每年返程带货次数大于41最少42次就可以保证购卡车划算。</t>
  </si>
  <si>
    <t>A排水方案现金流分析</t>
  </si>
  <si>
    <t>B排水方案现金流分析</t>
  </si>
  <si>
    <t>初始投资额</t>
  </si>
  <si>
    <t>使用期限/年</t>
  </si>
  <si>
    <t>年折旧/元</t>
  </si>
  <si>
    <t>年维修费/元</t>
  </si>
  <si>
    <t>单位小时成本/元</t>
  </si>
  <si>
    <t>每年排水时长/小时</t>
  </si>
  <si>
    <t>x</t>
  </si>
  <si>
    <t>每年排水成本/元</t>
  </si>
  <si>
    <t>1.5x</t>
  </si>
  <si>
    <t>0.8x</t>
  </si>
  <si>
    <t>每年排水现金流出</t>
  </si>
  <si>
    <t>1.5x-185</t>
  </si>
  <si>
    <t>0.8x+200-470=0.8x-270</t>
  </si>
  <si>
    <t>A方案和B方案的差量现金流分析</t>
  </si>
  <si>
    <t>差量投资</t>
  </si>
  <si>
    <t>差量现金流出</t>
  </si>
  <si>
    <t>-（0.7x+85）</t>
  </si>
  <si>
    <t>期数</t>
  </si>
  <si>
    <t>年金现值系数</t>
  </si>
  <si>
    <t>现金流出现值</t>
  </si>
  <si>
    <t>3000-（0.7x+85）*5.65＞0</t>
  </si>
  <si>
    <t>解不等式</t>
  </si>
  <si>
    <t>x＜637.10</t>
  </si>
  <si>
    <t>即当年排水量需要排水工作超过637小时时候，用A方案，</t>
  </si>
  <si>
    <t>否则用B方案</t>
  </si>
  <si>
    <t>A方案</t>
  </si>
  <si>
    <t>B方案 小面积开发</t>
  </si>
  <si>
    <t>C方案 先小面积开发，再大面积开发</t>
  </si>
  <si>
    <t>投资额/万元</t>
  </si>
  <si>
    <t>年收益/万元</t>
  </si>
  <si>
    <t>销路好</t>
  </si>
  <si>
    <t>销路差</t>
  </si>
  <si>
    <t>期望年收益/万元</t>
  </si>
  <si>
    <t>A方案现金流分布</t>
  </si>
  <si>
    <t>B方案现金流分布</t>
  </si>
  <si>
    <t>C方案现金流分布</t>
  </si>
  <si>
    <t>期望净收益</t>
  </si>
  <si>
    <t>期望净利润</t>
  </si>
  <si>
    <t>项目经营现金流</t>
  </si>
  <si>
    <t>固定资产折旧分析</t>
  </si>
  <si>
    <t>无形资产摊销分析</t>
  </si>
  <si>
    <t>摊销年限</t>
  </si>
  <si>
    <t>销售收入/万元</t>
  </si>
  <si>
    <t>年摊销额</t>
  </si>
  <si>
    <t>变动成本总额/万元</t>
  </si>
  <si>
    <t>付现成本/万元</t>
  </si>
  <si>
    <t>年折旧和摊销/万元</t>
  </si>
  <si>
    <t>税前利润/万元</t>
  </si>
  <si>
    <t>所得税/万元</t>
  </si>
  <si>
    <t>税后净利润/万元</t>
  </si>
  <si>
    <t>经营现金流/万元</t>
  </si>
  <si>
    <t>项目现金流分析</t>
  </si>
  <si>
    <t>垫支营运资金</t>
  </si>
  <si>
    <t>收回营运资金</t>
  </si>
  <si>
    <t>净现值NPV</t>
  </si>
  <si>
    <t>项目不可行</t>
  </si>
  <si>
    <t>权益成本率分析</t>
  </si>
  <si>
    <t>无风险利率</t>
  </si>
  <si>
    <t>市场风险溢价</t>
  </si>
  <si>
    <t>企业β</t>
  </si>
  <si>
    <t>企业权益资本成本</t>
  </si>
  <si>
    <t>负债成本率分析</t>
  </si>
  <si>
    <t>债券成本率</t>
  </si>
  <si>
    <t>负债成本率计算</t>
  </si>
  <si>
    <t>金额（元）</t>
  </si>
  <si>
    <t>比重</t>
  </si>
  <si>
    <t>负债融资</t>
  </si>
  <si>
    <t>权益融资</t>
  </si>
  <si>
    <t>企业综合成本率</t>
  </si>
  <si>
    <t>额外风险报酬率</t>
  </si>
  <si>
    <t>项目投资报酬率</t>
  </si>
</sst>
</file>

<file path=xl/styles.xml><?xml version="1.0" encoding="utf-8"?>
<styleSheet xmlns="http://schemas.openxmlformats.org/spreadsheetml/2006/main">
  <numFmts count="10">
    <numFmt numFmtId="8" formatCode="&quot;￥&quot;#,##0.00;[Red]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0.00_ "/>
    <numFmt numFmtId="178" formatCode="0.00_);[Red]\(0.00\)"/>
    <numFmt numFmtId="179" formatCode="0.000_);[Red]\(0.000\)"/>
    <numFmt numFmtId="180" formatCode="0.0000_ "/>
  </numFmts>
  <fonts count="25">
    <font>
      <sz val="11"/>
      <color theme="1"/>
      <name val="宋体"/>
      <charset val="134"/>
      <scheme val="minor"/>
    </font>
    <font>
      <sz val="9"/>
      <color rgb="FF000000"/>
      <name val="方正书宋_GBK"/>
      <charset val="134"/>
    </font>
    <font>
      <sz val="9"/>
      <color rgb="FF000000"/>
      <name val="NEU-BZ-S92"/>
      <charset val="134"/>
    </font>
    <font>
      <sz val="9"/>
      <color rgb="FF000000"/>
      <name val="方正黑体_GBK"/>
      <charset val="134"/>
    </font>
    <font>
      <sz val="10.5"/>
      <color rgb="FF000000"/>
      <name val="NEU-BZ-S9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NEU-HZ-S9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7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9" fontId="0" fillId="0" borderId="0" xfId="11">
      <alignment vertical="center"/>
    </xf>
    <xf numFmtId="8" fontId="0" fillId="0" borderId="0" xfId="0" applyNumberFormat="1">
      <alignment vertical="center"/>
    </xf>
    <xf numFmtId="9" fontId="0" fillId="0" borderId="0" xfId="0" applyNumberFormat="1">
      <alignment vertical="center"/>
    </xf>
    <xf numFmtId="9" fontId="0" fillId="0" borderId="1" xfId="0" applyNumberFormat="1" applyBorder="1">
      <alignment vertical="center"/>
    </xf>
    <xf numFmtId="9" fontId="0" fillId="0" borderId="1" xfId="11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8" fontId="0" fillId="2" borderId="0" xfId="0" applyNumberFormat="1" applyFill="1">
      <alignment vertical="center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8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79" fontId="0" fillId="0" borderId="1" xfId="0" applyNumberFormat="1" applyBorder="1">
      <alignment vertical="center"/>
    </xf>
    <xf numFmtId="18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opLeftCell="A25" workbookViewId="0">
      <selection activeCell="D56" sqref="D56"/>
    </sheetView>
  </sheetViews>
  <sheetFormatPr defaultColWidth="9" defaultRowHeight="13.5"/>
  <cols>
    <col min="1" max="1" width="19.5" customWidth="1"/>
    <col min="2" max="2" width="28.75" customWidth="1"/>
    <col min="3" max="3" width="18.25" customWidth="1"/>
    <col min="4" max="4" width="25.125" customWidth="1"/>
    <col min="5" max="5" width="20.25" customWidth="1"/>
    <col min="6" max="6" width="19.625" customWidth="1"/>
    <col min="10" max="10" width="14" customWidth="1"/>
    <col min="11" max="11" width="11.75" customWidth="1"/>
    <col min="14" max="14" width="9.375"/>
  </cols>
  <sheetData>
    <row r="1" spans="10:10">
      <c r="J1" t="s">
        <v>0</v>
      </c>
    </row>
    <row r="2" spans="1:11">
      <c r="A2" t="s">
        <v>1</v>
      </c>
      <c r="J2" s="38" t="s">
        <v>2</v>
      </c>
      <c r="K2" s="38" t="s">
        <v>3</v>
      </c>
    </row>
    <row r="3" spans="1:11">
      <c r="A3" s="38" t="s">
        <v>4</v>
      </c>
      <c r="B3" s="38">
        <v>1</v>
      </c>
      <c r="C3" s="38">
        <v>2</v>
      </c>
      <c r="D3" s="38">
        <v>3</v>
      </c>
      <c r="E3" s="38">
        <v>4</v>
      </c>
      <c r="F3" s="38">
        <v>5</v>
      </c>
      <c r="J3" s="38" t="s">
        <v>5</v>
      </c>
      <c r="K3" s="38">
        <v>95</v>
      </c>
    </row>
    <row r="4" spans="1:11">
      <c r="A4" s="38" t="s">
        <v>6</v>
      </c>
      <c r="B4" s="38">
        <v>9</v>
      </c>
      <c r="C4" s="38">
        <f>B4*1.1</f>
        <v>9.9</v>
      </c>
      <c r="D4" s="38">
        <f>C4*1.1</f>
        <v>10.89</v>
      </c>
      <c r="E4" s="38">
        <f>D4*1.1</f>
        <v>11.979</v>
      </c>
      <c r="F4" s="38">
        <f>E4</f>
        <v>11.979</v>
      </c>
      <c r="J4" s="38" t="s">
        <v>7</v>
      </c>
      <c r="K4" s="38">
        <v>5</v>
      </c>
    </row>
    <row r="5" spans="1:11">
      <c r="A5" s="38" t="s">
        <v>8</v>
      </c>
      <c r="B5" s="38">
        <v>20</v>
      </c>
      <c r="C5" s="38">
        <v>20</v>
      </c>
      <c r="D5" s="38">
        <v>20</v>
      </c>
      <c r="E5" s="38">
        <v>20</v>
      </c>
      <c r="F5" s="38">
        <v>20</v>
      </c>
      <c r="J5" s="38" t="s">
        <v>9</v>
      </c>
      <c r="K5" s="38">
        <f>K3+K4</f>
        <v>100</v>
      </c>
    </row>
    <row r="6" spans="1:11">
      <c r="A6" s="38" t="s">
        <v>10</v>
      </c>
      <c r="B6" s="38">
        <v>12</v>
      </c>
      <c r="C6" s="38">
        <v>12</v>
      </c>
      <c r="D6" s="38">
        <v>12</v>
      </c>
      <c r="E6" s="38">
        <v>12</v>
      </c>
      <c r="F6" s="38">
        <v>12</v>
      </c>
      <c r="J6" s="38" t="s">
        <v>11</v>
      </c>
      <c r="K6" s="39">
        <v>0.05</v>
      </c>
    </row>
    <row r="7" spans="1:11">
      <c r="A7" s="38" t="s">
        <v>12</v>
      </c>
      <c r="B7" s="38">
        <f>B5-B6</f>
        <v>8</v>
      </c>
      <c r="C7" s="38">
        <f>C5-C6</f>
        <v>8</v>
      </c>
      <c r="D7" s="38">
        <f>D5-D6</f>
        <v>8</v>
      </c>
      <c r="E7" s="38">
        <f>E5-E6</f>
        <v>8</v>
      </c>
      <c r="F7" s="38">
        <f>F5-F6</f>
        <v>8</v>
      </c>
      <c r="J7" s="38" t="s">
        <v>13</v>
      </c>
      <c r="K7" s="38">
        <f>K5-K5*K6</f>
        <v>95</v>
      </c>
    </row>
    <row r="8" spans="1:11">
      <c r="A8" s="38" t="s">
        <v>14</v>
      </c>
      <c r="B8" s="38">
        <f>B4*B7</f>
        <v>72</v>
      </c>
      <c r="C8" s="38">
        <f>C4*C7</f>
        <v>79.2</v>
      </c>
      <c r="D8" s="38">
        <f>D4*D7</f>
        <v>87.12</v>
      </c>
      <c r="E8" s="38">
        <f>E4*E7</f>
        <v>95.832</v>
      </c>
      <c r="F8" s="38">
        <f>F4*F7</f>
        <v>95.832</v>
      </c>
      <c r="J8" s="38" t="s">
        <v>15</v>
      </c>
      <c r="K8" s="38">
        <f>K7/5</f>
        <v>19</v>
      </c>
    </row>
    <row r="9" spans="1:6">
      <c r="A9" s="38" t="s">
        <v>16</v>
      </c>
      <c r="B9" s="38">
        <v>50</v>
      </c>
      <c r="C9" s="38">
        <v>50</v>
      </c>
      <c r="D9" s="38">
        <v>50</v>
      </c>
      <c r="E9" s="38">
        <v>50</v>
      </c>
      <c r="F9" s="38">
        <v>50</v>
      </c>
    </row>
    <row r="10" spans="1:6">
      <c r="A10" s="38" t="s">
        <v>17</v>
      </c>
      <c r="B10" s="38">
        <f>$K$8</f>
        <v>19</v>
      </c>
      <c r="C10" s="38">
        <f>$K$8</f>
        <v>19</v>
      </c>
      <c r="D10" s="38">
        <f>$K$8</f>
        <v>19</v>
      </c>
      <c r="E10" s="38">
        <f>$K$8</f>
        <v>19</v>
      </c>
      <c r="F10" s="38">
        <f>$K$8</f>
        <v>19</v>
      </c>
    </row>
    <row r="11" spans="1:6">
      <c r="A11" s="38" t="s">
        <v>18</v>
      </c>
      <c r="B11" s="38">
        <f>B8-B9-B10</f>
        <v>3</v>
      </c>
      <c r="C11" s="38">
        <f>C8-C9-C10</f>
        <v>10.2</v>
      </c>
      <c r="D11" s="38">
        <f>D8-D9-D10</f>
        <v>18.12</v>
      </c>
      <c r="E11" s="38">
        <f>E8-E9-E10</f>
        <v>26.832</v>
      </c>
      <c r="F11" s="38">
        <f>F8-F9-F10</f>
        <v>26.832</v>
      </c>
    </row>
    <row r="12" spans="1:6">
      <c r="A12" s="38" t="s">
        <v>19</v>
      </c>
      <c r="B12" s="39">
        <v>0.25</v>
      </c>
      <c r="C12" s="39">
        <v>0.25</v>
      </c>
      <c r="D12" s="39">
        <v>0.25</v>
      </c>
      <c r="E12" s="39">
        <v>0.25</v>
      </c>
      <c r="F12" s="39">
        <v>0.25</v>
      </c>
    </row>
    <row r="13" spans="1:6">
      <c r="A13" s="38" t="s">
        <v>20</v>
      </c>
      <c r="B13" s="38">
        <f>B11*0.75</f>
        <v>2.25</v>
      </c>
      <c r="C13" s="38">
        <f>C11*0.75</f>
        <v>7.65</v>
      </c>
      <c r="D13" s="38">
        <f>D11*0.75</f>
        <v>13.59</v>
      </c>
      <c r="E13" s="38">
        <f>E11*0.75</f>
        <v>20.124</v>
      </c>
      <c r="F13" s="38">
        <f>F11*0.75</f>
        <v>20.124</v>
      </c>
    </row>
    <row r="14" spans="1:6">
      <c r="A14" s="38" t="s">
        <v>21</v>
      </c>
      <c r="B14" s="38">
        <f>B13+B10</f>
        <v>21.25</v>
      </c>
      <c r="C14" s="38">
        <f>C13+C10</f>
        <v>26.65</v>
      </c>
      <c r="D14" s="38">
        <f>D13+D10</f>
        <v>32.59</v>
      </c>
      <c r="E14" s="38">
        <f>E13+E10</f>
        <v>39.124</v>
      </c>
      <c r="F14" s="38">
        <f>F13+F10</f>
        <v>39.124</v>
      </c>
    </row>
    <row r="17" spans="1:1">
      <c r="A17" t="s">
        <v>22</v>
      </c>
    </row>
    <row r="18" spans="1:8">
      <c r="A18" s="38" t="s">
        <v>4</v>
      </c>
      <c r="B18" s="38">
        <v>0</v>
      </c>
      <c r="C18" s="38">
        <v>1</v>
      </c>
      <c r="D18" s="38">
        <v>2</v>
      </c>
      <c r="E18" s="38">
        <v>3</v>
      </c>
      <c r="F18" s="38">
        <v>4</v>
      </c>
      <c r="G18" s="38">
        <v>5</v>
      </c>
      <c r="H18" s="38">
        <v>6</v>
      </c>
    </row>
    <row r="19" spans="1:8">
      <c r="A19" s="38" t="s">
        <v>23</v>
      </c>
      <c r="B19" s="38">
        <v>95</v>
      </c>
      <c r="C19" s="38"/>
      <c r="D19" s="38"/>
      <c r="E19" s="38"/>
      <c r="F19" s="38"/>
      <c r="G19" s="38"/>
      <c r="H19" s="38"/>
    </row>
    <row r="20" spans="1:8">
      <c r="A20" s="38" t="s">
        <v>24</v>
      </c>
      <c r="B20" s="38"/>
      <c r="C20" s="38"/>
      <c r="D20" s="38">
        <f>B14</f>
        <v>21.25</v>
      </c>
      <c r="E20" s="38">
        <f>C14</f>
        <v>26.65</v>
      </c>
      <c r="F20" s="38">
        <f>D14</f>
        <v>32.59</v>
      </c>
      <c r="G20" s="38">
        <f>E14</f>
        <v>39.124</v>
      </c>
      <c r="H20" s="38">
        <f>F14</f>
        <v>39.124</v>
      </c>
    </row>
    <row r="21" spans="1:8">
      <c r="A21" s="38" t="s">
        <v>25</v>
      </c>
      <c r="B21" s="38"/>
      <c r="C21" s="38"/>
      <c r="D21" s="38"/>
      <c r="E21" s="38"/>
      <c r="F21" s="38"/>
      <c r="G21" s="38"/>
      <c r="H21" s="38">
        <v>5</v>
      </c>
    </row>
    <row r="22" spans="1:8">
      <c r="A22" s="38" t="s">
        <v>26</v>
      </c>
      <c r="B22" s="38">
        <f>B20-B19+B21</f>
        <v>-95</v>
      </c>
      <c r="C22" s="38">
        <f t="shared" ref="C22:H22" si="0">C20-C19+C21</f>
        <v>0</v>
      </c>
      <c r="D22" s="38">
        <f>D20-D19+D21</f>
        <v>21.25</v>
      </c>
      <c r="E22" s="38">
        <f t="shared" si="0"/>
        <v>26.65</v>
      </c>
      <c r="F22" s="38">
        <f t="shared" si="0"/>
        <v>32.59</v>
      </c>
      <c r="G22" s="38">
        <f t="shared" si="0"/>
        <v>39.124</v>
      </c>
      <c r="H22" s="38">
        <f t="shared" si="0"/>
        <v>44.124</v>
      </c>
    </row>
    <row r="23" spans="1:8">
      <c r="A23" s="38" t="s">
        <v>27</v>
      </c>
      <c r="B23" s="39">
        <v>0.1</v>
      </c>
      <c r="C23" s="39">
        <v>0.1</v>
      </c>
      <c r="D23" s="39">
        <v>0.1</v>
      </c>
      <c r="E23" s="39">
        <v>0.1</v>
      </c>
      <c r="F23" s="39">
        <v>0.1</v>
      </c>
      <c r="G23" s="39">
        <v>0.1</v>
      </c>
      <c r="H23" s="39">
        <v>0.1</v>
      </c>
    </row>
    <row r="24" spans="1:8">
      <c r="A24" s="38" t="s">
        <v>28</v>
      </c>
      <c r="B24" s="40">
        <v>1</v>
      </c>
      <c r="C24" s="41">
        <v>0.909</v>
      </c>
      <c r="D24" s="41">
        <v>0.826</v>
      </c>
      <c r="E24" s="42">
        <v>0.751</v>
      </c>
      <c r="F24" s="42">
        <v>0.683</v>
      </c>
      <c r="G24" s="42">
        <v>0.621</v>
      </c>
      <c r="H24" s="42">
        <v>0.564</v>
      </c>
    </row>
    <row r="25" spans="1:8">
      <c r="A25" s="38" t="s">
        <v>29</v>
      </c>
      <c r="B25" s="40">
        <f>B22*B24</f>
        <v>-95</v>
      </c>
      <c r="C25" s="40">
        <f t="shared" ref="C25:H25" si="1">C22*C24</f>
        <v>0</v>
      </c>
      <c r="D25" s="40">
        <f t="shared" si="1"/>
        <v>17.5525</v>
      </c>
      <c r="E25" s="40">
        <f t="shared" si="1"/>
        <v>20.01415</v>
      </c>
      <c r="F25" s="40">
        <f t="shared" si="1"/>
        <v>22.25897</v>
      </c>
      <c r="G25" s="40">
        <f t="shared" si="1"/>
        <v>24.296004</v>
      </c>
      <c r="H25" s="40">
        <f t="shared" si="1"/>
        <v>24.885936</v>
      </c>
    </row>
    <row r="26" spans="1:8">
      <c r="A26" s="38" t="s">
        <v>30</v>
      </c>
      <c r="B26" s="40">
        <f>B25+C25+D25+E25+F25+G25+H25</f>
        <v>14.00756</v>
      </c>
      <c r="C26" s="38"/>
      <c r="D26" s="38"/>
      <c r="E26" s="38"/>
      <c r="F26" s="38"/>
      <c r="G26" s="38"/>
      <c r="H26" s="38"/>
    </row>
    <row r="27" spans="1:2">
      <c r="A27" s="38"/>
      <c r="B27" s="5"/>
    </row>
    <row r="28" spans="1:1">
      <c r="A28" s="38"/>
    </row>
    <row r="29" spans="1:1">
      <c r="A29" t="s">
        <v>31</v>
      </c>
    </row>
    <row r="30" spans="1:6">
      <c r="A30" s="38" t="s">
        <v>4</v>
      </c>
      <c r="B30" s="38">
        <v>1</v>
      </c>
      <c r="C30" s="38">
        <v>2</v>
      </c>
      <c r="D30" s="38">
        <v>3</v>
      </c>
      <c r="E30" s="38">
        <v>4</v>
      </c>
      <c r="F30" s="38">
        <v>5</v>
      </c>
    </row>
    <row r="31" spans="1:6">
      <c r="A31" s="38" t="s">
        <v>6</v>
      </c>
      <c r="B31" s="38" t="s">
        <v>32</v>
      </c>
      <c r="C31" s="38" t="s">
        <v>33</v>
      </c>
      <c r="D31" s="38" t="s">
        <v>34</v>
      </c>
      <c r="E31" s="38" t="s">
        <v>35</v>
      </c>
      <c r="F31" s="38" t="str">
        <f>E31</f>
        <v>1.331Q</v>
      </c>
    </row>
    <row r="32" spans="1:6">
      <c r="A32" s="38" t="s">
        <v>8</v>
      </c>
      <c r="B32" s="38">
        <v>20</v>
      </c>
      <c r="C32" s="38">
        <v>20</v>
      </c>
      <c r="D32" s="38">
        <v>20</v>
      </c>
      <c r="E32" s="38">
        <v>20</v>
      </c>
      <c r="F32" s="38">
        <v>20</v>
      </c>
    </row>
    <row r="33" spans="1:6">
      <c r="A33" s="38" t="s">
        <v>10</v>
      </c>
      <c r="B33" s="38">
        <v>12</v>
      </c>
      <c r="C33" s="38">
        <v>12</v>
      </c>
      <c r="D33" s="38">
        <v>12</v>
      </c>
      <c r="E33" s="38">
        <v>12</v>
      </c>
      <c r="F33" s="38">
        <v>12</v>
      </c>
    </row>
    <row r="34" spans="1:6">
      <c r="A34" s="38" t="s">
        <v>12</v>
      </c>
      <c r="B34" s="38">
        <f t="shared" ref="B34:F34" si="2">B32-B33</f>
        <v>8</v>
      </c>
      <c r="C34" s="38">
        <f t="shared" si="2"/>
        <v>8</v>
      </c>
      <c r="D34" s="38">
        <f t="shared" si="2"/>
        <v>8</v>
      </c>
      <c r="E34" s="38">
        <f t="shared" si="2"/>
        <v>8</v>
      </c>
      <c r="F34" s="38">
        <f t="shared" si="2"/>
        <v>8</v>
      </c>
    </row>
    <row r="35" spans="1:6">
      <c r="A35" s="38" t="s">
        <v>14</v>
      </c>
      <c r="B35" s="38" t="s">
        <v>36</v>
      </c>
      <c r="C35" s="38" t="s">
        <v>37</v>
      </c>
      <c r="D35" s="38" t="s">
        <v>38</v>
      </c>
      <c r="E35" s="38" t="s">
        <v>39</v>
      </c>
      <c r="F35" s="38" t="s">
        <v>39</v>
      </c>
    </row>
    <row r="36" spans="1:11">
      <c r="A36" s="38" t="s">
        <v>16</v>
      </c>
      <c r="B36" s="38">
        <v>50</v>
      </c>
      <c r="C36" s="38">
        <v>50</v>
      </c>
      <c r="D36" s="38">
        <v>50</v>
      </c>
      <c r="E36" s="38">
        <v>50</v>
      </c>
      <c r="F36" s="38">
        <v>50</v>
      </c>
      <c r="J36">
        <v>6</v>
      </c>
      <c r="K36">
        <f>J36*B44</f>
        <v>4.956</v>
      </c>
    </row>
    <row r="37" spans="1:11">
      <c r="A37" s="38" t="s">
        <v>17</v>
      </c>
      <c r="B37" s="38">
        <f t="shared" ref="B37:F37" si="3">$K$8</f>
        <v>19</v>
      </c>
      <c r="C37" s="38">
        <f t="shared" si="3"/>
        <v>19</v>
      </c>
      <c r="D37" s="38">
        <f t="shared" si="3"/>
        <v>19</v>
      </c>
      <c r="E37" s="38">
        <f t="shared" si="3"/>
        <v>19</v>
      </c>
      <c r="F37" s="38">
        <f t="shared" si="3"/>
        <v>19</v>
      </c>
      <c r="J37">
        <v>32.75</v>
      </c>
      <c r="K37">
        <f>J37*B44</f>
        <v>27.0515</v>
      </c>
    </row>
    <row r="38" spans="1:6">
      <c r="A38" s="38" t="s">
        <v>18</v>
      </c>
      <c r="B38" s="38" t="s">
        <v>40</v>
      </c>
      <c r="C38" s="38" t="s">
        <v>41</v>
      </c>
      <c r="D38" s="38" t="s">
        <v>42</v>
      </c>
      <c r="E38" s="38" t="s">
        <v>43</v>
      </c>
      <c r="F38" s="38" t="s">
        <v>43</v>
      </c>
    </row>
    <row r="39" spans="1:14">
      <c r="A39" s="38" t="s">
        <v>19</v>
      </c>
      <c r="B39" s="39">
        <v>0.25</v>
      </c>
      <c r="C39" s="39">
        <v>0.25</v>
      </c>
      <c r="D39" s="39">
        <v>0.25</v>
      </c>
      <c r="E39" s="39">
        <v>0.25</v>
      </c>
      <c r="F39" s="39">
        <v>0.25</v>
      </c>
      <c r="J39">
        <v>6.6</v>
      </c>
      <c r="K39">
        <f>J39*C44</f>
        <v>4.9566</v>
      </c>
      <c r="M39">
        <v>7.26</v>
      </c>
      <c r="N39">
        <f>M39*D44</f>
        <v>4.95858</v>
      </c>
    </row>
    <row r="40" spans="1:14">
      <c r="A40" s="38" t="s">
        <v>44</v>
      </c>
      <c r="B40" s="39" t="s">
        <v>45</v>
      </c>
      <c r="C40" s="39" t="s">
        <v>46</v>
      </c>
      <c r="D40" s="39" t="s">
        <v>47</v>
      </c>
      <c r="E40" s="39" t="s">
        <v>48</v>
      </c>
      <c r="F40" s="39" t="s">
        <v>48</v>
      </c>
      <c r="J40">
        <v>32.75</v>
      </c>
      <c r="K40">
        <f>J40*C44</f>
        <v>24.59525</v>
      </c>
      <c r="M40">
        <v>32.75</v>
      </c>
      <c r="N40">
        <f>M40*D44</f>
        <v>22.36825</v>
      </c>
    </row>
    <row r="41" spans="1:6">
      <c r="A41" s="38" t="s">
        <v>20</v>
      </c>
      <c r="B41" s="38" t="s">
        <v>49</v>
      </c>
      <c r="C41" s="38" t="s">
        <v>50</v>
      </c>
      <c r="D41" s="38" t="s">
        <v>51</v>
      </c>
      <c r="E41" s="38" t="s">
        <v>52</v>
      </c>
      <c r="F41" s="38" t="s">
        <v>52</v>
      </c>
    </row>
    <row r="42" spans="1:11">
      <c r="A42" s="38" t="s">
        <v>21</v>
      </c>
      <c r="B42" s="38" t="s">
        <v>53</v>
      </c>
      <c r="C42" s="38" t="s">
        <v>54</v>
      </c>
      <c r="D42" s="38" t="s">
        <v>55</v>
      </c>
      <c r="E42" s="38" t="s">
        <v>56</v>
      </c>
      <c r="F42" s="38" t="s">
        <v>56</v>
      </c>
      <c r="J42">
        <v>7.986</v>
      </c>
      <c r="K42">
        <f>J42*E44</f>
        <v>4.959306</v>
      </c>
    </row>
    <row r="43" spans="1:11">
      <c r="A43" s="38" t="s">
        <v>27</v>
      </c>
      <c r="B43" s="6">
        <v>0.1</v>
      </c>
      <c r="C43" s="6">
        <v>0.1</v>
      </c>
      <c r="D43" s="4">
        <f>C43</f>
        <v>0.1</v>
      </c>
      <c r="E43" s="4">
        <f>D43</f>
        <v>0.1</v>
      </c>
      <c r="F43" s="4">
        <f>E43</f>
        <v>0.1</v>
      </c>
      <c r="J43">
        <v>32.75</v>
      </c>
      <c r="K43">
        <f>J43*E44</f>
        <v>20.33775</v>
      </c>
    </row>
    <row r="44" spans="1:6">
      <c r="A44" s="38" t="s">
        <v>28</v>
      </c>
      <c r="B44" s="41">
        <v>0.826</v>
      </c>
      <c r="C44" s="42">
        <v>0.751</v>
      </c>
      <c r="D44" s="42">
        <v>0.683</v>
      </c>
      <c r="E44" s="42">
        <v>0.621</v>
      </c>
      <c r="F44" s="42">
        <v>0.564</v>
      </c>
    </row>
    <row r="45" spans="1:11">
      <c r="A45" s="38" t="s">
        <v>29</v>
      </c>
      <c r="B45" t="s">
        <v>57</v>
      </c>
      <c r="C45" t="s">
        <v>58</v>
      </c>
      <c r="D45" t="s">
        <v>59</v>
      </c>
      <c r="E45" t="s">
        <v>60</v>
      </c>
      <c r="F45" t="s">
        <v>61</v>
      </c>
      <c r="K45">
        <f>J42*F44</f>
        <v>4.504104</v>
      </c>
    </row>
    <row r="46" spans="1:11">
      <c r="A46" s="38" t="s">
        <v>30</v>
      </c>
      <c r="B46" t="s">
        <v>62</v>
      </c>
      <c r="K46">
        <f>J43*F44</f>
        <v>18.471</v>
      </c>
    </row>
    <row r="48" spans="1:2">
      <c r="A48" t="s">
        <v>63</v>
      </c>
      <c r="B48" t="s">
        <v>64</v>
      </c>
    </row>
    <row r="49" spans="2:11">
      <c r="B49" t="s">
        <v>65</v>
      </c>
      <c r="K49">
        <f>K36+K39+K42+K45+N39</f>
        <v>24.33459</v>
      </c>
    </row>
    <row r="50" spans="2:11">
      <c r="B50" s="2" t="s">
        <v>66</v>
      </c>
      <c r="C50" s="2">
        <v>8.5403</v>
      </c>
      <c r="K50">
        <f>K37+K40+K43+K46+N40</f>
        <v>112.82375</v>
      </c>
    </row>
    <row r="51" spans="2:11">
      <c r="B51" s="2" t="s">
        <v>67</v>
      </c>
      <c r="C51" s="2">
        <f>C50*8</f>
        <v>68.3224</v>
      </c>
      <c r="K51">
        <f>K50+B19</f>
        <v>207.82375</v>
      </c>
    </row>
    <row r="52" spans="2:11">
      <c r="B52" s="2" t="s">
        <v>68</v>
      </c>
      <c r="C52" s="2">
        <f>B36+B37</f>
        <v>69</v>
      </c>
      <c r="K52" s="43">
        <f>K51/K49</f>
        <v>8.54026100295916</v>
      </c>
    </row>
    <row r="53" spans="2:3">
      <c r="B53" s="2" t="s">
        <v>69</v>
      </c>
      <c r="C53" s="2">
        <f>C51-C52</f>
        <v>-0.677599999999998</v>
      </c>
    </row>
    <row r="54" spans="2:3">
      <c r="B54" s="2" t="s">
        <v>70</v>
      </c>
      <c r="C54" s="2">
        <f>C53+B37</f>
        <v>18.3224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opLeftCell="A4" workbookViewId="0">
      <selection activeCell="D36" sqref="D36"/>
    </sheetView>
  </sheetViews>
  <sheetFormatPr defaultColWidth="9" defaultRowHeight="13.5"/>
  <cols>
    <col min="1" max="1" width="17.125" customWidth="1"/>
    <col min="2" max="2" width="15.125" customWidth="1"/>
    <col min="4" max="4" width="53.125" customWidth="1"/>
    <col min="5" max="5" width="15.875"/>
  </cols>
  <sheetData>
    <row r="1" spans="1:4">
      <c r="A1" t="s">
        <v>71</v>
      </c>
      <c r="D1" t="s">
        <v>72</v>
      </c>
    </row>
    <row r="3" spans="1:7">
      <c r="A3" s="2" t="s">
        <v>73</v>
      </c>
      <c r="B3" s="2">
        <v>3000000</v>
      </c>
      <c r="D3" s="2" t="s">
        <v>4</v>
      </c>
      <c r="E3" s="2">
        <v>0</v>
      </c>
      <c r="F3" s="2">
        <v>1</v>
      </c>
      <c r="G3" s="2">
        <v>2</v>
      </c>
    </row>
    <row r="4" spans="1:7">
      <c r="A4" s="2" t="s">
        <v>74</v>
      </c>
      <c r="B4" s="2">
        <v>0</v>
      </c>
      <c r="D4" s="2" t="s">
        <v>75</v>
      </c>
      <c r="E4" s="2">
        <v>0</v>
      </c>
      <c r="F4" s="2"/>
      <c r="G4" s="2"/>
    </row>
    <row r="5" spans="1:7">
      <c r="A5" s="2" t="s">
        <v>76</v>
      </c>
      <c r="B5" s="2">
        <v>5</v>
      </c>
      <c r="D5" s="2" t="s">
        <v>77</v>
      </c>
      <c r="E5" s="2"/>
      <c r="F5" s="2">
        <f>B21</f>
        <v>675000</v>
      </c>
      <c r="G5" s="2">
        <f>F5</f>
        <v>675000</v>
      </c>
    </row>
    <row r="6" spans="1:7">
      <c r="A6" s="2" t="s">
        <v>78</v>
      </c>
      <c r="B6" s="2">
        <f>B3/B5</f>
        <v>600000</v>
      </c>
      <c r="D6" s="2" t="s">
        <v>79</v>
      </c>
      <c r="E6" s="2">
        <v>0</v>
      </c>
      <c r="F6" s="2">
        <f>F5</f>
        <v>675000</v>
      </c>
      <c r="G6" s="2">
        <f>G5</f>
        <v>675000</v>
      </c>
    </row>
    <row r="7" spans="1:7">
      <c r="A7" s="2" t="s">
        <v>80</v>
      </c>
      <c r="B7" s="2">
        <f>B6*3</f>
        <v>1800000</v>
      </c>
      <c r="D7" s="2" t="s">
        <v>27</v>
      </c>
      <c r="E7" s="7">
        <v>0.1</v>
      </c>
      <c r="F7" s="2"/>
      <c r="G7" s="2"/>
    </row>
    <row r="8" spans="1:7">
      <c r="A8" s="2" t="s">
        <v>81</v>
      </c>
      <c r="B8" s="2">
        <f>B3-B7</f>
        <v>1200000</v>
      </c>
      <c r="D8" s="2" t="s">
        <v>82</v>
      </c>
      <c r="E8" s="36">
        <f>NPV(E7,F6,G6)</f>
        <v>1171487.60330578</v>
      </c>
      <c r="F8" s="2"/>
      <c r="G8" s="2"/>
    </row>
    <row r="9" spans="4:5">
      <c r="D9" s="2" t="s">
        <v>83</v>
      </c>
      <c r="E9" s="2">
        <v>1.736</v>
      </c>
    </row>
    <row r="10" spans="1:5">
      <c r="A10" t="s">
        <v>84</v>
      </c>
      <c r="D10" s="2" t="s">
        <v>85</v>
      </c>
      <c r="E10" s="37">
        <f>E8/E9</f>
        <v>674820.047987203</v>
      </c>
    </row>
    <row r="11" spans="1:2">
      <c r="A11" s="2" t="s">
        <v>86</v>
      </c>
      <c r="B11" s="2">
        <v>10000</v>
      </c>
    </row>
    <row r="12" spans="1:2">
      <c r="A12" s="2" t="s">
        <v>87</v>
      </c>
      <c r="B12" s="2">
        <v>100</v>
      </c>
    </row>
    <row r="13" spans="1:2">
      <c r="A13" s="2" t="s">
        <v>88</v>
      </c>
      <c r="B13" s="2">
        <f>B11*B12</f>
        <v>1000000</v>
      </c>
    </row>
    <row r="14" spans="1:2">
      <c r="A14" s="2" t="s">
        <v>89</v>
      </c>
      <c r="B14" s="2">
        <v>60</v>
      </c>
    </row>
    <row r="15" spans="1:2">
      <c r="A15" s="2" t="s">
        <v>90</v>
      </c>
      <c r="B15" s="2">
        <f>B11*B14</f>
        <v>600000</v>
      </c>
    </row>
    <row r="16" spans="1:2">
      <c r="A16" s="2" t="s">
        <v>91</v>
      </c>
      <c r="B16" s="2">
        <v>300000</v>
      </c>
    </row>
    <row r="17" spans="1:2">
      <c r="A17" s="2" t="s">
        <v>92</v>
      </c>
      <c r="B17" s="2">
        <f>B13-B15-B16</f>
        <v>100000</v>
      </c>
    </row>
    <row r="18" spans="1:2">
      <c r="A18" s="2" t="s">
        <v>19</v>
      </c>
      <c r="B18" s="7">
        <v>0.25</v>
      </c>
    </row>
    <row r="19" spans="1:2">
      <c r="A19" s="2" t="s">
        <v>93</v>
      </c>
      <c r="B19" s="2">
        <f>B17*B18</f>
        <v>25000</v>
      </c>
    </row>
    <row r="20" spans="1:2">
      <c r="A20" s="2" t="s">
        <v>20</v>
      </c>
      <c r="B20" s="2">
        <f>B17-B19</f>
        <v>75000</v>
      </c>
    </row>
    <row r="21" spans="1:2">
      <c r="A21" s="2" t="s">
        <v>77</v>
      </c>
      <c r="B21" s="2">
        <f>B20+B6</f>
        <v>675000</v>
      </c>
    </row>
    <row r="24" spans="1:1">
      <c r="A24" t="s">
        <v>94</v>
      </c>
    </row>
    <row r="25" spans="4:4">
      <c r="D25" t="s">
        <v>95</v>
      </c>
    </row>
    <row r="26" spans="1:10">
      <c r="A26" t="s">
        <v>96</v>
      </c>
      <c r="B26">
        <f>B8+250000</f>
        <v>1450000</v>
      </c>
      <c r="D26" s="2" t="s">
        <v>4</v>
      </c>
      <c r="E26" s="2">
        <v>0</v>
      </c>
      <c r="F26" s="2">
        <v>1</v>
      </c>
      <c r="G26" s="2">
        <v>2</v>
      </c>
      <c r="H26" s="2">
        <v>3</v>
      </c>
      <c r="I26" s="2">
        <v>4</v>
      </c>
      <c r="J26" s="2">
        <v>5</v>
      </c>
    </row>
    <row r="27" spans="1:10">
      <c r="A27" t="s">
        <v>97</v>
      </c>
      <c r="B27">
        <v>0</v>
      </c>
      <c r="D27" s="2" t="s">
        <v>75</v>
      </c>
      <c r="E27" s="2">
        <v>250000</v>
      </c>
      <c r="F27" s="2"/>
      <c r="G27" s="2"/>
      <c r="H27" s="2"/>
      <c r="I27" s="2"/>
      <c r="J27" s="2"/>
    </row>
    <row r="28" spans="1:10">
      <c r="A28" t="s">
        <v>98</v>
      </c>
      <c r="B28">
        <v>5</v>
      </c>
      <c r="D28" s="2" t="s">
        <v>77</v>
      </c>
      <c r="E28" s="2"/>
      <c r="F28" s="2">
        <f>B43</f>
        <v>425000</v>
      </c>
      <c r="G28" s="2">
        <f>F28</f>
        <v>425000</v>
      </c>
      <c r="H28" s="2">
        <f>G28</f>
        <v>425000</v>
      </c>
      <c r="I28" s="2">
        <f>H28</f>
        <v>425000</v>
      </c>
      <c r="J28" s="2">
        <f>I28</f>
        <v>425000</v>
      </c>
    </row>
    <row r="29" spans="1:10">
      <c r="A29" t="s">
        <v>76</v>
      </c>
      <c r="B29">
        <v>5</v>
      </c>
      <c r="D29" s="2" t="s">
        <v>79</v>
      </c>
      <c r="E29" s="2">
        <f>E28-E27</f>
        <v>-250000</v>
      </c>
      <c r="F29" s="2">
        <f>F28-F27</f>
        <v>425000</v>
      </c>
      <c r="G29" s="2">
        <f>G28-G27</f>
        <v>425000</v>
      </c>
      <c r="H29" s="2">
        <f>H28-H27</f>
        <v>425000</v>
      </c>
      <c r="I29" s="2">
        <f>I28-I27</f>
        <v>425000</v>
      </c>
      <c r="J29" s="2">
        <f>J28-J27</f>
        <v>425000</v>
      </c>
    </row>
    <row r="30" spans="1:10">
      <c r="A30" t="s">
        <v>78</v>
      </c>
      <c r="B30">
        <f>B26/B29</f>
        <v>290000</v>
      </c>
      <c r="D30" s="2" t="s">
        <v>27</v>
      </c>
      <c r="E30" s="8">
        <f>E7</f>
        <v>0.1</v>
      </c>
      <c r="F30" s="2"/>
      <c r="G30" s="2"/>
      <c r="H30" s="2"/>
      <c r="I30" s="2"/>
      <c r="J30" s="2"/>
    </row>
    <row r="31" spans="4:10">
      <c r="D31" s="2" t="s">
        <v>82</v>
      </c>
      <c r="E31" s="36">
        <f>NPV(E30,E29,F29,G29,H29,I29,J29)</f>
        <v>1237349.43363508</v>
      </c>
      <c r="F31" s="2"/>
      <c r="G31" s="2"/>
      <c r="H31" s="2"/>
      <c r="I31" s="2"/>
      <c r="J31" s="2"/>
    </row>
    <row r="32" spans="1:5">
      <c r="A32" t="s">
        <v>99</v>
      </c>
      <c r="D32" s="2" t="s">
        <v>100</v>
      </c>
      <c r="E32" s="2">
        <v>3.791</v>
      </c>
    </row>
    <row r="33" spans="1:5">
      <c r="A33" s="2" t="s">
        <v>86</v>
      </c>
      <c r="B33" s="2">
        <v>12000</v>
      </c>
      <c r="D33" s="2" t="s">
        <v>85</v>
      </c>
      <c r="E33" s="37">
        <f>E31/E32</f>
        <v>326391.304045128</v>
      </c>
    </row>
    <row r="34" spans="1:2">
      <c r="A34" s="2" t="s">
        <v>87</v>
      </c>
      <c r="B34" s="2">
        <v>100</v>
      </c>
    </row>
    <row r="35" spans="1:2">
      <c r="A35" s="2" t="s">
        <v>88</v>
      </c>
      <c r="B35" s="2">
        <f>B33*B34</f>
        <v>1200000</v>
      </c>
    </row>
    <row r="36" spans="1:4">
      <c r="A36" s="2" t="s">
        <v>89</v>
      </c>
      <c r="B36" s="2">
        <v>60</v>
      </c>
      <c r="D36" t="s">
        <v>101</v>
      </c>
    </row>
    <row r="37" spans="1:2">
      <c r="A37" s="2" t="s">
        <v>90</v>
      </c>
      <c r="B37" s="2">
        <f>B33*B36</f>
        <v>720000</v>
      </c>
    </row>
    <row r="38" spans="1:2">
      <c r="A38" s="2" t="s">
        <v>91</v>
      </c>
      <c r="B38" s="2">
        <v>300000</v>
      </c>
    </row>
    <row r="39" spans="1:2">
      <c r="A39" s="2" t="s">
        <v>92</v>
      </c>
      <c r="B39" s="2">
        <f>B35-B37-B38</f>
        <v>180000</v>
      </c>
    </row>
    <row r="40" spans="1:2">
      <c r="A40" s="2" t="s">
        <v>19</v>
      </c>
      <c r="B40" s="7">
        <v>0.25</v>
      </c>
    </row>
    <row r="41" spans="1:2">
      <c r="A41" s="2" t="s">
        <v>93</v>
      </c>
      <c r="B41" s="2">
        <f>B39*B40</f>
        <v>45000</v>
      </c>
    </row>
    <row r="42" spans="1:2">
      <c r="A42" s="2" t="s">
        <v>20</v>
      </c>
      <c r="B42" s="2">
        <f>B39-B41</f>
        <v>135000</v>
      </c>
    </row>
    <row r="43" spans="1:2">
      <c r="A43" s="2" t="s">
        <v>77</v>
      </c>
      <c r="B43" s="2">
        <f>B42+B30</f>
        <v>425000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3"/>
  <sheetViews>
    <sheetView topLeftCell="A22" workbookViewId="0">
      <selection activeCell="M43" sqref="M43"/>
    </sheetView>
  </sheetViews>
  <sheetFormatPr defaultColWidth="9" defaultRowHeight="13.5"/>
  <cols>
    <col min="1" max="1" width="11.25" customWidth="1"/>
    <col min="5" max="5" width="31.875" customWidth="1"/>
    <col min="9" max="9" width="10.375"/>
    <col min="10" max="10" width="12.625"/>
    <col min="13" max="13" width="10.75" customWidth="1"/>
    <col min="14" max="14" width="10.875" customWidth="1"/>
    <col min="15" max="15" width="10.125" customWidth="1"/>
    <col min="16" max="16" width="9" customWidth="1"/>
  </cols>
  <sheetData>
    <row r="1" customHeight="1"/>
    <row r="3" ht="14.25" spans="1:13">
      <c r="A3" s="20" t="s">
        <v>102</v>
      </c>
      <c r="E3" s="20" t="s">
        <v>103</v>
      </c>
      <c r="M3" s="20" t="s">
        <v>104</v>
      </c>
    </row>
    <row r="4" ht="14.25" spans="1:21">
      <c r="A4" s="11" t="s">
        <v>105</v>
      </c>
      <c r="B4" s="11" t="s">
        <v>106</v>
      </c>
      <c r="E4" s="11" t="s">
        <v>107</v>
      </c>
      <c r="F4" s="29" t="s">
        <v>108</v>
      </c>
      <c r="G4" s="11" t="s">
        <v>109</v>
      </c>
      <c r="H4" s="11" t="s">
        <v>110</v>
      </c>
      <c r="I4" s="11" t="s">
        <v>111</v>
      </c>
      <c r="J4" s="11" t="s">
        <v>112</v>
      </c>
      <c r="M4" s="11" t="s">
        <v>107</v>
      </c>
      <c r="N4" s="11" t="s">
        <v>113</v>
      </c>
      <c r="O4" s="11"/>
      <c r="P4" s="11"/>
      <c r="Q4" s="11" t="s">
        <v>114</v>
      </c>
      <c r="R4" s="11"/>
      <c r="S4" s="11"/>
      <c r="T4" s="11"/>
      <c r="U4" s="11"/>
    </row>
    <row r="5" ht="14.25" spans="1:21">
      <c r="A5" s="13" t="s">
        <v>115</v>
      </c>
      <c r="B5" s="22">
        <v>20</v>
      </c>
      <c r="E5" s="30" t="s">
        <v>116</v>
      </c>
      <c r="F5" s="22">
        <v>300000</v>
      </c>
      <c r="G5" s="22">
        <v>300000</v>
      </c>
      <c r="H5" s="22">
        <v>300000</v>
      </c>
      <c r="I5" s="22">
        <v>300000</v>
      </c>
      <c r="J5" s="22">
        <v>300000</v>
      </c>
      <c r="M5" s="11"/>
      <c r="N5" s="22">
        <v>0</v>
      </c>
      <c r="O5" s="22">
        <v>1</v>
      </c>
      <c r="P5" s="34">
        <v>2</v>
      </c>
      <c r="Q5" s="34">
        <v>3</v>
      </c>
      <c r="R5" s="34">
        <v>4</v>
      </c>
      <c r="S5" s="34">
        <v>5</v>
      </c>
      <c r="T5" s="34">
        <v>6</v>
      </c>
      <c r="U5" s="34">
        <v>7</v>
      </c>
    </row>
    <row r="6" ht="14.25" spans="1:21">
      <c r="A6" s="13" t="s">
        <v>117</v>
      </c>
      <c r="B6" s="22">
        <v>2</v>
      </c>
      <c r="E6" s="30" t="s">
        <v>118</v>
      </c>
      <c r="F6" s="22">
        <v>250000</v>
      </c>
      <c r="G6" s="22">
        <v>250000</v>
      </c>
      <c r="H6" s="22">
        <v>250000</v>
      </c>
      <c r="I6" s="22">
        <v>250000</v>
      </c>
      <c r="J6" s="22">
        <v>250000</v>
      </c>
      <c r="M6" s="13" t="s">
        <v>119</v>
      </c>
      <c r="N6" s="22">
        <v>100000</v>
      </c>
      <c r="O6" s="22">
        <v>25000</v>
      </c>
      <c r="P6" s="35"/>
      <c r="Q6" s="35"/>
      <c r="R6" s="35"/>
      <c r="S6" s="35"/>
      <c r="T6" s="35"/>
      <c r="U6" s="35"/>
    </row>
    <row r="7" ht="23.25" spans="1:21">
      <c r="A7" s="13" t="s">
        <v>120</v>
      </c>
      <c r="B7" s="22">
        <v>3</v>
      </c>
      <c r="E7" s="30" t="s">
        <v>121</v>
      </c>
      <c r="F7" s="22">
        <v>200000</v>
      </c>
      <c r="G7" s="22">
        <v>200000</v>
      </c>
      <c r="H7" s="22">
        <v>200000</v>
      </c>
      <c r="I7" s="22">
        <v>200000</v>
      </c>
      <c r="J7" s="22">
        <v>200000</v>
      </c>
      <c r="M7" s="13" t="s">
        <v>122</v>
      </c>
      <c r="N7" s="35"/>
      <c r="O7" s="35"/>
      <c r="P7" s="22">
        <v>25000</v>
      </c>
      <c r="Q7" s="35"/>
      <c r="R7" s="35"/>
      <c r="S7" s="35"/>
      <c r="T7" s="35"/>
      <c r="U7" s="35"/>
    </row>
    <row r="8" ht="14.25" spans="1:21">
      <c r="A8" s="13" t="s">
        <v>123</v>
      </c>
      <c r="B8" s="22">
        <v>2</v>
      </c>
      <c r="E8" s="30" t="s">
        <v>124</v>
      </c>
      <c r="F8" s="22">
        <v>30000</v>
      </c>
      <c r="G8" s="22">
        <v>30000</v>
      </c>
      <c r="H8" s="22">
        <v>30000</v>
      </c>
      <c r="I8" s="22">
        <v>30000</v>
      </c>
      <c r="J8" s="22">
        <v>30000</v>
      </c>
      <c r="M8" s="13" t="s">
        <v>125</v>
      </c>
      <c r="N8" s="35"/>
      <c r="O8" s="35"/>
      <c r="P8" s="35"/>
      <c r="Q8" s="22">
        <v>42500</v>
      </c>
      <c r="R8" s="22">
        <v>42500</v>
      </c>
      <c r="S8" s="22">
        <v>42500</v>
      </c>
      <c r="T8" s="22">
        <v>42500</v>
      </c>
      <c r="U8" s="22">
        <v>42500</v>
      </c>
    </row>
    <row r="9" ht="14.25" spans="5:21">
      <c r="E9" s="30" t="s">
        <v>126</v>
      </c>
      <c r="F9" s="22">
        <v>20000</v>
      </c>
      <c r="G9" s="22">
        <v>20000</v>
      </c>
      <c r="H9" s="22">
        <v>20000</v>
      </c>
      <c r="I9" s="22">
        <v>20000</v>
      </c>
      <c r="J9" s="22">
        <v>20000</v>
      </c>
      <c r="M9" s="13" t="s">
        <v>127</v>
      </c>
      <c r="N9" s="35"/>
      <c r="O9" s="35"/>
      <c r="P9" s="35"/>
      <c r="Q9" s="35"/>
      <c r="R9" s="35"/>
      <c r="S9" s="35"/>
      <c r="T9" s="35"/>
      <c r="U9" s="22">
        <v>25000</v>
      </c>
    </row>
    <row r="10" ht="24" customHeight="1" spans="5:21">
      <c r="E10" s="30" t="s">
        <v>123</v>
      </c>
      <c r="F10" s="22">
        <v>20000</v>
      </c>
      <c r="G10" s="22">
        <v>20000</v>
      </c>
      <c r="H10" s="22">
        <v>20000</v>
      </c>
      <c r="I10" s="22">
        <v>20000</v>
      </c>
      <c r="J10" s="22">
        <v>20000</v>
      </c>
      <c r="M10" s="13" t="s">
        <v>128</v>
      </c>
      <c r="N10" s="35"/>
      <c r="O10" s="35"/>
      <c r="P10" s="35"/>
      <c r="Q10" s="35"/>
      <c r="R10" s="35"/>
      <c r="S10" s="35"/>
      <c r="T10" s="35"/>
      <c r="U10" s="22">
        <v>25000</v>
      </c>
    </row>
    <row r="11" ht="23.25" spans="5:21">
      <c r="E11" s="30" t="s">
        <v>129</v>
      </c>
      <c r="F11" s="22">
        <v>30000</v>
      </c>
      <c r="G11" s="22">
        <v>30000</v>
      </c>
      <c r="H11" s="22">
        <v>30000</v>
      </c>
      <c r="I11" s="22">
        <v>30000</v>
      </c>
      <c r="J11" s="22">
        <v>30000</v>
      </c>
      <c r="M11" s="13" t="s">
        <v>130</v>
      </c>
      <c r="N11" s="22">
        <f>SUM(N6,N7,N8,N9,N10)</f>
        <v>100000</v>
      </c>
      <c r="O11" s="22">
        <f>SUM(O6,O7,O8,O9,O10)</f>
        <v>25000</v>
      </c>
      <c r="P11" s="22">
        <f>SUM(P6,P7,P8,P9,P10)</f>
        <v>25000</v>
      </c>
      <c r="Q11" s="22">
        <f>SUM(Q6,Q7,Q8,Q9,Q10)</f>
        <v>42500</v>
      </c>
      <c r="R11" s="22">
        <f>SUM(R6,R7,R8,R9,R10)</f>
        <v>42500</v>
      </c>
      <c r="S11" s="22">
        <f>SUM(S6,S7,S8,S9,S10)</f>
        <v>42500</v>
      </c>
      <c r="T11" s="22">
        <f>SUM(T6,T7,T8,T9,T10)</f>
        <v>42500</v>
      </c>
      <c r="U11" s="22">
        <f>SUM(U6,U7,U8,U9,U10)</f>
        <v>92500</v>
      </c>
    </row>
    <row r="12" ht="14.25" spans="5:10">
      <c r="E12" s="30" t="s">
        <v>131</v>
      </c>
      <c r="F12" s="22">
        <v>7500</v>
      </c>
      <c r="G12" s="22">
        <v>7500</v>
      </c>
      <c r="H12" s="22">
        <v>7500</v>
      </c>
      <c r="I12" s="22">
        <v>7500</v>
      </c>
      <c r="J12" s="22">
        <v>7500</v>
      </c>
    </row>
    <row r="13" ht="14.25" spans="5:10">
      <c r="E13" s="30" t="s">
        <v>132</v>
      </c>
      <c r="F13" s="22">
        <v>22500</v>
      </c>
      <c r="G13" s="22">
        <v>22500</v>
      </c>
      <c r="H13" s="22">
        <v>22500</v>
      </c>
      <c r="I13" s="22">
        <v>22500</v>
      </c>
      <c r="J13" s="22">
        <v>22500</v>
      </c>
    </row>
    <row r="14" ht="14.25" spans="5:10">
      <c r="E14" s="30" t="s">
        <v>133</v>
      </c>
      <c r="F14" s="22">
        <v>42500</v>
      </c>
      <c r="G14" s="22">
        <v>42500</v>
      </c>
      <c r="H14" s="22">
        <v>42500</v>
      </c>
      <c r="I14" s="22">
        <v>42500</v>
      </c>
      <c r="J14" s="22">
        <v>42500</v>
      </c>
    </row>
    <row r="15" ht="14.25" spans="13:13">
      <c r="M15" s="20" t="s">
        <v>134</v>
      </c>
    </row>
    <row r="16" ht="14.25" spans="5:16">
      <c r="E16" t="s">
        <v>135</v>
      </c>
      <c r="M16" s="11" t="s">
        <v>136</v>
      </c>
      <c r="N16" s="11" t="s">
        <v>137</v>
      </c>
      <c r="O16" s="34" t="s">
        <v>138</v>
      </c>
      <c r="P16" s="11" t="s">
        <v>139</v>
      </c>
    </row>
    <row r="17" spans="5:16">
      <c r="E17" s="11" t="s">
        <v>107</v>
      </c>
      <c r="F17" s="31" t="s">
        <v>108</v>
      </c>
      <c r="G17" s="32" t="s">
        <v>109</v>
      </c>
      <c r="H17" s="32" t="s">
        <v>110</v>
      </c>
      <c r="I17" s="32" t="s">
        <v>111</v>
      </c>
      <c r="J17" s="32" t="s">
        <v>112</v>
      </c>
      <c r="M17" s="22">
        <v>0</v>
      </c>
      <c r="N17" s="22">
        <v>-100000</v>
      </c>
      <c r="O17" s="22">
        <v>1</v>
      </c>
      <c r="P17" s="22">
        <f>N17*O17</f>
        <v>-100000</v>
      </c>
    </row>
    <row r="18" ht="14.25" spans="5:16">
      <c r="E18" s="33" t="s">
        <v>116</v>
      </c>
      <c r="F18" s="2">
        <f>F5</f>
        <v>300000</v>
      </c>
      <c r="G18" s="2">
        <f>F18*1.1</f>
        <v>330000</v>
      </c>
      <c r="H18" s="2">
        <f>G18*1.1</f>
        <v>363000</v>
      </c>
      <c r="I18" s="2">
        <f>H18*1.1</f>
        <v>399300</v>
      </c>
      <c r="J18" s="2">
        <f>I18*1.1</f>
        <v>439230</v>
      </c>
      <c r="M18" s="22">
        <v>1</v>
      </c>
      <c r="N18" s="22">
        <v>-25000</v>
      </c>
      <c r="O18" s="22">
        <v>0.9091</v>
      </c>
      <c r="P18" s="22">
        <f>N18*O18</f>
        <v>-22727.5</v>
      </c>
    </row>
    <row r="19" ht="14.25" spans="5:16">
      <c r="E19" s="33" t="s">
        <v>118</v>
      </c>
      <c r="F19" s="2">
        <f>F20+F21+F22</f>
        <v>250000</v>
      </c>
      <c r="G19" s="2">
        <f>G20+G21+G22</f>
        <v>281800</v>
      </c>
      <c r="H19" s="2">
        <f>H20+H21+H22</f>
        <v>317852</v>
      </c>
      <c r="I19" s="2">
        <f>I20+I21+I22</f>
        <v>358736.08</v>
      </c>
      <c r="J19" s="2">
        <f>J20+J21+J22</f>
        <v>405112.2032</v>
      </c>
      <c r="M19" s="22">
        <v>2</v>
      </c>
      <c r="N19" s="22">
        <v>-25000</v>
      </c>
      <c r="O19" s="22">
        <v>0.8264</v>
      </c>
      <c r="P19" s="22">
        <f t="shared" ref="P19:P25" si="0">N19*O19</f>
        <v>-20660</v>
      </c>
    </row>
    <row r="20" ht="14.25" spans="5:16">
      <c r="E20" s="33" t="s">
        <v>121</v>
      </c>
      <c r="F20" s="2">
        <f>F7</f>
        <v>200000</v>
      </c>
      <c r="G20" s="2">
        <f>F20*1.14</f>
        <v>228000</v>
      </c>
      <c r="H20" s="2">
        <f>G20*1.14</f>
        <v>259920</v>
      </c>
      <c r="I20" s="2">
        <f>H20*1.14</f>
        <v>296308.8</v>
      </c>
      <c r="J20" s="2">
        <f>I20*1.14</f>
        <v>337792.032</v>
      </c>
      <c r="M20" s="22">
        <v>3</v>
      </c>
      <c r="N20" s="22">
        <v>42500</v>
      </c>
      <c r="O20" s="22">
        <v>0.7513</v>
      </c>
      <c r="P20" s="22">
        <f t="shared" si="0"/>
        <v>31930.25</v>
      </c>
    </row>
    <row r="21" ht="14.25" spans="5:16">
      <c r="E21" s="33" t="s">
        <v>124</v>
      </c>
      <c r="F21" s="2">
        <f>F8</f>
        <v>30000</v>
      </c>
      <c r="G21" s="2">
        <f>F21*1.1</f>
        <v>33000</v>
      </c>
      <c r="H21" s="2">
        <f>G21*1.1</f>
        <v>36300</v>
      </c>
      <c r="I21" s="2">
        <f>H21*1.1</f>
        <v>39930</v>
      </c>
      <c r="J21" s="2">
        <f>I21*1.1</f>
        <v>43923</v>
      </c>
      <c r="M21" s="22">
        <v>4</v>
      </c>
      <c r="N21" s="22">
        <v>42500</v>
      </c>
      <c r="O21" s="22">
        <v>0.683</v>
      </c>
      <c r="P21" s="22">
        <f t="shared" si="0"/>
        <v>29027.5</v>
      </c>
    </row>
    <row r="22" ht="14.25" spans="5:16">
      <c r="E22" s="33" t="s">
        <v>126</v>
      </c>
      <c r="F22" s="2">
        <f>F9</f>
        <v>20000</v>
      </c>
      <c r="G22" s="2">
        <f>F22*1.04</f>
        <v>20800</v>
      </c>
      <c r="H22" s="2">
        <f>G22*1.04</f>
        <v>21632</v>
      </c>
      <c r="I22" s="2">
        <f>H22*1.04</f>
        <v>22497.28</v>
      </c>
      <c r="J22" s="2">
        <f>I22*1.04</f>
        <v>23397.1712</v>
      </c>
      <c r="M22" s="22">
        <v>5</v>
      </c>
      <c r="N22" s="22">
        <v>42500</v>
      </c>
      <c r="O22" s="22">
        <v>0.6209</v>
      </c>
      <c r="P22" s="22">
        <f t="shared" si="0"/>
        <v>26388.25</v>
      </c>
    </row>
    <row r="23" ht="14.25" spans="5:16">
      <c r="E23" s="33" t="s">
        <v>123</v>
      </c>
      <c r="F23" s="2">
        <f>F10</f>
        <v>20000</v>
      </c>
      <c r="G23" s="2">
        <f>G10</f>
        <v>20000</v>
      </c>
      <c r="H23" s="2">
        <f>H10</f>
        <v>20000</v>
      </c>
      <c r="I23" s="2">
        <f>I10</f>
        <v>20000</v>
      </c>
      <c r="J23" s="2">
        <f>J10</f>
        <v>20000</v>
      </c>
      <c r="M23" s="22">
        <v>6</v>
      </c>
      <c r="N23" s="22">
        <v>42500</v>
      </c>
      <c r="O23" s="22">
        <v>0.5645</v>
      </c>
      <c r="P23" s="22">
        <f t="shared" si="0"/>
        <v>23991.25</v>
      </c>
    </row>
    <row r="24" ht="14.25" spans="5:16">
      <c r="E24" s="33" t="s">
        <v>129</v>
      </c>
      <c r="F24" s="2">
        <f>F18-F19-F23</f>
        <v>30000</v>
      </c>
      <c r="G24" s="2">
        <f>G18-G19-G23</f>
        <v>28200</v>
      </c>
      <c r="H24" s="2">
        <f>H18-H19-H23</f>
        <v>25148.0000000001</v>
      </c>
      <c r="I24" s="2">
        <f>I18-I19-I23</f>
        <v>20563.9200000002</v>
      </c>
      <c r="J24" s="2">
        <f>J18-J19-J23</f>
        <v>14117.7968000003</v>
      </c>
      <c r="M24" s="22">
        <v>7</v>
      </c>
      <c r="N24" s="22">
        <v>92500</v>
      </c>
      <c r="O24" s="22">
        <v>0.5312</v>
      </c>
      <c r="P24" s="22">
        <f t="shared" si="0"/>
        <v>49136</v>
      </c>
    </row>
    <row r="25" ht="14.25" spans="5:16">
      <c r="E25" s="33" t="s">
        <v>131</v>
      </c>
      <c r="F25" s="2">
        <f>F24*0.25</f>
        <v>7500</v>
      </c>
      <c r="G25" s="2">
        <f>G24*0.25</f>
        <v>7050</v>
      </c>
      <c r="H25" s="2">
        <f>H24*0.25</f>
        <v>6287.00000000003</v>
      </c>
      <c r="I25" s="2">
        <f>I24*0.25</f>
        <v>5140.98000000004</v>
      </c>
      <c r="J25" s="2">
        <f>J24*0.25</f>
        <v>3529.44920000008</v>
      </c>
      <c r="M25" s="13" t="s">
        <v>140</v>
      </c>
      <c r="N25" s="13"/>
      <c r="O25" s="13"/>
      <c r="P25" s="22">
        <f>SUM(P17:P24)</f>
        <v>17085.75</v>
      </c>
    </row>
    <row r="26" ht="14.25" spans="5:10">
      <c r="E26" s="33" t="s">
        <v>132</v>
      </c>
      <c r="F26" s="2">
        <f>F24-F25</f>
        <v>22500</v>
      </c>
      <c r="G26" s="2">
        <f>G24-G25</f>
        <v>21150</v>
      </c>
      <c r="H26" s="2">
        <f>H24-H25</f>
        <v>18861.0000000001</v>
      </c>
      <c r="I26" s="2">
        <f>I24-I25</f>
        <v>15422.9400000001</v>
      </c>
      <c r="J26" s="2">
        <f>J24-J25</f>
        <v>10588.3476000002</v>
      </c>
    </row>
    <row r="27" ht="14.25" spans="5:10">
      <c r="E27" s="33" t="s">
        <v>133</v>
      </c>
      <c r="F27" s="2">
        <f>F23+F26</f>
        <v>42500</v>
      </c>
      <c r="G27" s="2">
        <f>G23+G26</f>
        <v>41150</v>
      </c>
      <c r="H27" s="2">
        <f>H23+H26</f>
        <v>38861.0000000001</v>
      </c>
      <c r="I27" s="2">
        <f>I23+I26</f>
        <v>35422.9400000001</v>
      </c>
      <c r="J27" s="2">
        <f>J23+J26</f>
        <v>30588.3476000002</v>
      </c>
    </row>
    <row r="30" ht="14.25" spans="1:13">
      <c r="A30" t="s">
        <v>141</v>
      </c>
      <c r="M30" t="s">
        <v>142</v>
      </c>
    </row>
    <row r="31" ht="14.25" spans="1:16">
      <c r="A31" s="11" t="s">
        <v>107</v>
      </c>
      <c r="B31" s="11" t="s">
        <v>113</v>
      </c>
      <c r="C31" s="11"/>
      <c r="D31" s="11"/>
      <c r="E31" s="11" t="s">
        <v>114</v>
      </c>
      <c r="F31" s="11"/>
      <c r="G31" s="11"/>
      <c r="H31" s="11"/>
      <c r="I31" s="11"/>
      <c r="M31" s="11" t="s">
        <v>136</v>
      </c>
      <c r="N31" s="11" t="s">
        <v>137</v>
      </c>
      <c r="O31" s="34" t="s">
        <v>138</v>
      </c>
      <c r="P31" s="11" t="s">
        <v>139</v>
      </c>
    </row>
    <row r="32" ht="14.25" spans="1:16">
      <c r="A32" s="11"/>
      <c r="B32" s="22">
        <v>0</v>
      </c>
      <c r="C32" s="22">
        <v>1</v>
      </c>
      <c r="D32" s="34">
        <v>2</v>
      </c>
      <c r="E32" s="34">
        <v>3</v>
      </c>
      <c r="F32" s="34">
        <v>4</v>
      </c>
      <c r="G32" s="34">
        <v>5</v>
      </c>
      <c r="H32" s="34">
        <v>6</v>
      </c>
      <c r="I32" s="34">
        <v>7</v>
      </c>
      <c r="M32" s="22">
        <v>0</v>
      </c>
      <c r="N32" s="22">
        <f>-B38</f>
        <v>-110000</v>
      </c>
      <c r="O32" s="22">
        <v>1</v>
      </c>
      <c r="P32" s="22">
        <f t="shared" ref="P32:P39" si="1">N32*O32</f>
        <v>-110000</v>
      </c>
    </row>
    <row r="33" ht="14.25" spans="1:16">
      <c r="A33" s="13" t="s">
        <v>119</v>
      </c>
      <c r="B33" s="22">
        <f>N6*1.1</f>
        <v>110000</v>
      </c>
      <c r="C33" s="22">
        <f>O6*1.1</f>
        <v>27500</v>
      </c>
      <c r="D33" s="35"/>
      <c r="E33" s="35"/>
      <c r="F33" s="35"/>
      <c r="G33" s="35"/>
      <c r="H33" s="35"/>
      <c r="I33" s="35"/>
      <c r="M33" s="22">
        <v>1</v>
      </c>
      <c r="N33" s="22">
        <f>-C38</f>
        <v>-27500</v>
      </c>
      <c r="O33" s="22">
        <v>0.9091</v>
      </c>
      <c r="P33" s="22">
        <f t="shared" si="1"/>
        <v>-25000.25</v>
      </c>
    </row>
    <row r="34" ht="14.25" spans="1:16">
      <c r="A34" s="13" t="s">
        <v>122</v>
      </c>
      <c r="B34" s="35"/>
      <c r="C34" s="35"/>
      <c r="D34" s="22">
        <v>25000</v>
      </c>
      <c r="E34" s="35"/>
      <c r="F34" s="35"/>
      <c r="G34" s="35"/>
      <c r="H34" s="35"/>
      <c r="I34" s="35"/>
      <c r="M34" s="22">
        <v>2</v>
      </c>
      <c r="N34" s="22">
        <v>-25000</v>
      </c>
      <c r="O34" s="22">
        <v>0.8264</v>
      </c>
      <c r="P34" s="22">
        <f t="shared" si="1"/>
        <v>-20660</v>
      </c>
    </row>
    <row r="35" ht="14.25" spans="1:16">
      <c r="A35" s="13" t="s">
        <v>125</v>
      </c>
      <c r="B35" s="35"/>
      <c r="C35" s="35"/>
      <c r="D35" s="35"/>
      <c r="E35" s="22">
        <f>F27</f>
        <v>42500</v>
      </c>
      <c r="F35" s="22">
        <f>G27</f>
        <v>41150</v>
      </c>
      <c r="G35" s="22">
        <f>H27</f>
        <v>38861.0000000001</v>
      </c>
      <c r="H35" s="22">
        <f>I27</f>
        <v>35422.9400000001</v>
      </c>
      <c r="I35" s="22">
        <f>J27</f>
        <v>30588.3476000002</v>
      </c>
      <c r="M35" s="22">
        <v>3</v>
      </c>
      <c r="N35" s="22">
        <f>E38</f>
        <v>42500</v>
      </c>
      <c r="O35" s="22">
        <v>0.7513</v>
      </c>
      <c r="P35" s="22">
        <f t="shared" si="1"/>
        <v>31930.25</v>
      </c>
    </row>
    <row r="36" ht="14.25" spans="1:16">
      <c r="A36" s="13" t="s">
        <v>127</v>
      </c>
      <c r="B36" s="35"/>
      <c r="C36" s="35"/>
      <c r="D36" s="35"/>
      <c r="E36" s="35"/>
      <c r="F36" s="22"/>
      <c r="G36" s="35"/>
      <c r="H36" s="35"/>
      <c r="I36" s="22">
        <v>37500</v>
      </c>
      <c r="M36" s="22">
        <v>4</v>
      </c>
      <c r="N36" s="22">
        <f>F38</f>
        <v>41150</v>
      </c>
      <c r="O36" s="22">
        <v>0.683</v>
      </c>
      <c r="P36" s="22">
        <f t="shared" si="1"/>
        <v>28105.45</v>
      </c>
    </row>
    <row r="37" ht="14.25" spans="1:16">
      <c r="A37" s="13" t="s">
        <v>128</v>
      </c>
      <c r="B37" s="35"/>
      <c r="C37" s="35"/>
      <c r="D37" s="35"/>
      <c r="E37" s="35"/>
      <c r="F37" s="22"/>
      <c r="G37" s="35"/>
      <c r="H37" s="35"/>
      <c r="I37" s="22">
        <v>25000</v>
      </c>
      <c r="M37" s="22">
        <v>5</v>
      </c>
      <c r="N37" s="22">
        <f>G38</f>
        <v>38861.0000000001</v>
      </c>
      <c r="O37" s="22">
        <v>0.6209</v>
      </c>
      <c r="P37" s="22">
        <f t="shared" si="1"/>
        <v>24128.7949000001</v>
      </c>
    </row>
    <row r="38" ht="14.25" spans="1:16">
      <c r="A38" s="13" t="s">
        <v>130</v>
      </c>
      <c r="B38" s="22">
        <f t="shared" ref="B38:I38" si="2">SUM(B33,B34,B35,B36,B37)</f>
        <v>110000</v>
      </c>
      <c r="C38" s="22">
        <f t="shared" si="2"/>
        <v>27500</v>
      </c>
      <c r="D38" s="22">
        <f t="shared" si="2"/>
        <v>25000</v>
      </c>
      <c r="E38" s="22">
        <f t="shared" si="2"/>
        <v>42500</v>
      </c>
      <c r="F38" s="22">
        <f t="shared" si="2"/>
        <v>41150</v>
      </c>
      <c r="G38" s="22">
        <f t="shared" si="2"/>
        <v>38861.0000000001</v>
      </c>
      <c r="H38" s="22">
        <f t="shared" si="2"/>
        <v>35422.9400000001</v>
      </c>
      <c r="I38" s="22">
        <f t="shared" si="2"/>
        <v>93088.3476000002</v>
      </c>
      <c r="M38" s="22">
        <v>6</v>
      </c>
      <c r="N38" s="22">
        <f>H38</f>
        <v>35422.9400000001</v>
      </c>
      <c r="O38" s="22">
        <v>0.5645</v>
      </c>
      <c r="P38" s="22">
        <f t="shared" si="1"/>
        <v>19996.2496300001</v>
      </c>
    </row>
    <row r="39" ht="14.25" spans="13:16">
      <c r="M39" s="22">
        <v>7</v>
      </c>
      <c r="N39" s="22">
        <f>I38</f>
        <v>93088.3476000002</v>
      </c>
      <c r="O39" s="22">
        <v>0.5312</v>
      </c>
      <c r="P39" s="22">
        <f t="shared" si="1"/>
        <v>49448.5302451201</v>
      </c>
    </row>
    <row r="40" ht="14.25" spans="13:16">
      <c r="M40" s="13" t="s">
        <v>140</v>
      </c>
      <c r="N40" s="13"/>
      <c r="O40" s="13"/>
      <c r="P40" s="22">
        <f>SUM(P32:P39)</f>
        <v>-2050.9752248798</v>
      </c>
    </row>
    <row r="43" spans="13:13">
      <c r="M43" t="s">
        <v>143</v>
      </c>
    </row>
  </sheetData>
  <mergeCells count="8">
    <mergeCell ref="N4:P4"/>
    <mergeCell ref="Q4:U4"/>
    <mergeCell ref="M25:O25"/>
    <mergeCell ref="B31:D31"/>
    <mergeCell ref="E31:I31"/>
    <mergeCell ref="M40:O40"/>
    <mergeCell ref="A31:A32"/>
    <mergeCell ref="M4:M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A10" workbookViewId="0">
      <selection activeCell="A48" sqref="A48"/>
    </sheetView>
  </sheetViews>
  <sheetFormatPr defaultColWidth="9" defaultRowHeight="13.5"/>
  <cols>
    <col min="1" max="1" width="36.875" customWidth="1"/>
    <col min="2" max="2" width="18.5" customWidth="1"/>
    <col min="3" max="3" width="12.625"/>
    <col min="8" max="8" width="21.375" customWidth="1"/>
    <col min="9" max="9" width="26.25" customWidth="1"/>
  </cols>
  <sheetData>
    <row r="1" ht="14.25" spans="1:8">
      <c r="A1" s="20" t="s">
        <v>144</v>
      </c>
      <c r="H1" s="20" t="s">
        <v>145</v>
      </c>
    </row>
    <row r="2" ht="14.25" spans="1:9">
      <c r="A2" s="11" t="s">
        <v>146</v>
      </c>
      <c r="B2" s="21" t="s">
        <v>137</v>
      </c>
      <c r="H2" s="11" t="s">
        <v>4</v>
      </c>
      <c r="I2" s="21" t="s">
        <v>137</v>
      </c>
    </row>
    <row r="3" ht="14.25" spans="1:9">
      <c r="A3" s="22">
        <v>1</v>
      </c>
      <c r="B3" s="23">
        <v>280000</v>
      </c>
      <c r="H3" s="22">
        <v>1</v>
      </c>
      <c r="I3" s="23">
        <v>250000</v>
      </c>
    </row>
    <row r="4" ht="14.25" spans="1:9">
      <c r="A4" s="22">
        <v>2</v>
      </c>
      <c r="B4" s="23">
        <v>280000</v>
      </c>
      <c r="H4" s="22">
        <v>2</v>
      </c>
      <c r="I4" s="23">
        <v>250000</v>
      </c>
    </row>
    <row r="5" ht="14.25" spans="1:9">
      <c r="A5" s="22">
        <v>3</v>
      </c>
      <c r="B5" s="23">
        <v>280000</v>
      </c>
      <c r="H5" s="22">
        <v>3</v>
      </c>
      <c r="I5" s="23">
        <v>250000</v>
      </c>
    </row>
    <row r="6" ht="14.25" spans="1:9">
      <c r="A6" s="22">
        <v>4</v>
      </c>
      <c r="B6" s="23">
        <v>280000</v>
      </c>
      <c r="H6" s="22">
        <v>4</v>
      </c>
      <c r="I6" s="23">
        <v>250000</v>
      </c>
    </row>
    <row r="7" ht="14.25" spans="1:9">
      <c r="A7" s="22">
        <v>5</v>
      </c>
      <c r="B7" s="23">
        <v>280000</v>
      </c>
      <c r="H7" s="22">
        <v>5</v>
      </c>
      <c r="I7" s="23">
        <v>250000</v>
      </c>
    </row>
    <row r="8" ht="14.25" spans="1:9">
      <c r="A8" s="22">
        <v>6</v>
      </c>
      <c r="B8" s="23">
        <v>350000</v>
      </c>
      <c r="H8" s="24">
        <v>6</v>
      </c>
      <c r="I8" s="23">
        <v>315000</v>
      </c>
    </row>
    <row r="9" ht="14.25" spans="1:9">
      <c r="A9" s="22">
        <v>7</v>
      </c>
      <c r="B9" s="23">
        <v>350000</v>
      </c>
      <c r="H9" s="25">
        <v>7</v>
      </c>
      <c r="I9" s="23">
        <v>315000</v>
      </c>
    </row>
    <row r="10" ht="14.25" spans="1:9">
      <c r="A10" s="22">
        <v>8</v>
      </c>
      <c r="B10" s="23">
        <v>350000</v>
      </c>
      <c r="C10"/>
      <c r="D10"/>
      <c r="H10" s="26">
        <v>8</v>
      </c>
      <c r="I10" s="23">
        <v>315000</v>
      </c>
    </row>
    <row r="11" spans="1:9">
      <c r="A11" s="27">
        <v>9</v>
      </c>
      <c r="B11" s="27">
        <v>350000</v>
      </c>
      <c r="H11" s="26">
        <v>9</v>
      </c>
      <c r="I11" s="27">
        <v>315000</v>
      </c>
    </row>
    <row r="12" spans="1:9">
      <c r="A12" s="27">
        <v>10</v>
      </c>
      <c r="B12" s="27">
        <v>350000</v>
      </c>
      <c r="H12" s="26">
        <v>10</v>
      </c>
      <c r="I12" s="27">
        <v>315000</v>
      </c>
    </row>
    <row r="13" spans="1:9">
      <c r="A13" s="27">
        <v>11</v>
      </c>
      <c r="B13" s="27">
        <v>250000</v>
      </c>
      <c r="H13" s="26">
        <v>11</v>
      </c>
      <c r="I13" s="27">
        <v>225000</v>
      </c>
    </row>
    <row r="14" spans="1:9">
      <c r="A14" s="27">
        <v>12</v>
      </c>
      <c r="B14" s="27">
        <v>250000</v>
      </c>
      <c r="H14" s="26">
        <v>12</v>
      </c>
      <c r="I14" s="27">
        <v>225000</v>
      </c>
    </row>
    <row r="15" spans="1:9">
      <c r="A15" s="27">
        <v>13</v>
      </c>
      <c r="B15" s="27">
        <v>250000</v>
      </c>
      <c r="H15" s="26">
        <v>13</v>
      </c>
      <c r="I15" s="27">
        <v>225000</v>
      </c>
    </row>
    <row r="16" spans="1:9">
      <c r="A16" s="27">
        <v>14</v>
      </c>
      <c r="B16" s="27">
        <v>250000</v>
      </c>
      <c r="H16" s="26">
        <v>14</v>
      </c>
      <c r="I16" s="27">
        <v>225000</v>
      </c>
    </row>
    <row r="17" spans="1:9">
      <c r="A17" s="27">
        <v>15</v>
      </c>
      <c r="B17" s="27">
        <v>250000</v>
      </c>
      <c r="H17" s="28">
        <v>15</v>
      </c>
      <c r="I17" s="27">
        <v>225000</v>
      </c>
    </row>
    <row r="19" spans="1:1">
      <c r="A19" t="s">
        <v>147</v>
      </c>
    </row>
    <row r="20" spans="1:1">
      <c r="A20" t="s">
        <v>148</v>
      </c>
    </row>
    <row r="21" spans="1:1">
      <c r="A21" t="s">
        <v>149</v>
      </c>
    </row>
    <row r="22" spans="1:1">
      <c r="A22" t="s">
        <v>150</v>
      </c>
    </row>
    <row r="24" spans="1:1">
      <c r="A24" t="s">
        <v>151</v>
      </c>
    </row>
    <row r="25" spans="1:2">
      <c r="A25" t="s">
        <v>4</v>
      </c>
      <c r="B25" t="s">
        <v>152</v>
      </c>
    </row>
    <row r="26" spans="1:2">
      <c r="A26">
        <v>0</v>
      </c>
      <c r="B26">
        <v>-2200000</v>
      </c>
    </row>
    <row r="27" spans="1:2">
      <c r="A27">
        <v>1</v>
      </c>
      <c r="B27">
        <f>I3</f>
        <v>250000</v>
      </c>
    </row>
    <row r="28" spans="1:2">
      <c r="A28">
        <v>2</v>
      </c>
      <c r="B28">
        <f t="shared" ref="B28:B41" si="0">I4</f>
        <v>250000</v>
      </c>
    </row>
    <row r="29" spans="1:2">
      <c r="A29">
        <v>3</v>
      </c>
      <c r="B29">
        <f t="shared" si="0"/>
        <v>250000</v>
      </c>
    </row>
    <row r="30" spans="1:2">
      <c r="A30">
        <v>4</v>
      </c>
      <c r="B30">
        <f t="shared" si="0"/>
        <v>250000</v>
      </c>
    </row>
    <row r="31" spans="1:2">
      <c r="A31">
        <v>5</v>
      </c>
      <c r="B31">
        <f t="shared" si="0"/>
        <v>250000</v>
      </c>
    </row>
    <row r="32" spans="1:2">
      <c r="A32">
        <v>6</v>
      </c>
      <c r="B32">
        <f t="shared" si="0"/>
        <v>315000</v>
      </c>
    </row>
    <row r="33" spans="1:2">
      <c r="A33">
        <v>7</v>
      </c>
      <c r="B33">
        <f t="shared" si="0"/>
        <v>315000</v>
      </c>
    </row>
    <row r="34" spans="1:2">
      <c r="A34">
        <v>8</v>
      </c>
      <c r="B34">
        <f t="shared" si="0"/>
        <v>315000</v>
      </c>
    </row>
    <row r="35" spans="1:2">
      <c r="A35">
        <v>9</v>
      </c>
      <c r="B35">
        <f t="shared" si="0"/>
        <v>315000</v>
      </c>
    </row>
    <row r="36" spans="1:2">
      <c r="A36">
        <v>10</v>
      </c>
      <c r="B36">
        <f t="shared" si="0"/>
        <v>315000</v>
      </c>
    </row>
    <row r="37" spans="1:2">
      <c r="A37">
        <v>11</v>
      </c>
      <c r="B37">
        <f t="shared" si="0"/>
        <v>225000</v>
      </c>
    </row>
    <row r="38" spans="1:2">
      <c r="A38">
        <v>12</v>
      </c>
      <c r="B38">
        <f t="shared" si="0"/>
        <v>225000</v>
      </c>
    </row>
    <row r="39" spans="1:2">
      <c r="A39">
        <v>13</v>
      </c>
      <c r="B39">
        <f t="shared" si="0"/>
        <v>225000</v>
      </c>
    </row>
    <row r="40" spans="1:2">
      <c r="A40">
        <v>14</v>
      </c>
      <c r="B40">
        <f t="shared" si="0"/>
        <v>225000</v>
      </c>
    </row>
    <row r="41" spans="1:2">
      <c r="A41">
        <v>15</v>
      </c>
      <c r="B41">
        <f t="shared" si="0"/>
        <v>225000</v>
      </c>
    </row>
    <row r="42" spans="1:2">
      <c r="A42" t="s">
        <v>27</v>
      </c>
      <c r="B42" s="6">
        <v>0.1</v>
      </c>
    </row>
    <row r="43" spans="1:5">
      <c r="A43" t="s">
        <v>30</v>
      </c>
      <c r="B43" s="5">
        <f>NPV(B42,B26,B27,B28,B29,B30,B31,B32,B33,B34,B35,B36,B37,B38,B39,B40,B41)</f>
        <v>-165474.737798861</v>
      </c>
      <c r="D43" t="s">
        <v>153</v>
      </c>
      <c r="E43">
        <v>0</v>
      </c>
    </row>
    <row r="44" spans="1:5">
      <c r="A44" t="s">
        <v>154</v>
      </c>
      <c r="B44" s="6">
        <f>IRR(B26:B41,)</f>
        <v>0.0852151609026079</v>
      </c>
      <c r="D44" t="s">
        <v>153</v>
      </c>
      <c r="E44" t="s">
        <v>155</v>
      </c>
    </row>
    <row r="45" spans="1:5">
      <c r="A45" t="s">
        <v>156</v>
      </c>
      <c r="B45">
        <f>(B43-B26)/2200000</f>
        <v>0.924784210091427</v>
      </c>
      <c r="D45" t="s">
        <v>153</v>
      </c>
      <c r="E45">
        <v>1</v>
      </c>
    </row>
    <row r="46" spans="1:7">
      <c r="A46" t="s">
        <v>157</v>
      </c>
      <c r="B46">
        <f>SUM(B26:B34)</f>
        <v>-5000</v>
      </c>
      <c r="C46">
        <f>8+5000/B35</f>
        <v>8.01587301587302</v>
      </c>
      <c r="D46" t="s">
        <v>158</v>
      </c>
      <c r="E46" t="s">
        <v>159</v>
      </c>
      <c r="G46" t="s">
        <v>160</v>
      </c>
    </row>
    <row r="48" spans="1:1">
      <c r="A48" t="s">
        <v>161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topLeftCell="A22" workbookViewId="0">
      <selection activeCell="B54" sqref="B54"/>
    </sheetView>
  </sheetViews>
  <sheetFormatPr defaultColWidth="9" defaultRowHeight="13.5" outlineLevelCol="7"/>
  <cols>
    <col min="1" max="1" width="24.125" customWidth="1"/>
    <col min="2" max="2" width="14.75" customWidth="1"/>
    <col min="5" max="5" width="12" customWidth="1"/>
    <col min="8" max="8" width="12.625"/>
  </cols>
  <sheetData>
    <row r="1" ht="14.25" spans="1:5">
      <c r="A1" t="s">
        <v>162</v>
      </c>
      <c r="E1" t="s">
        <v>163</v>
      </c>
    </row>
    <row r="2" ht="14.25" spans="1:6">
      <c r="A2" s="11" t="s">
        <v>164</v>
      </c>
      <c r="B2" s="12">
        <v>150000</v>
      </c>
      <c r="E2" t="s">
        <v>165</v>
      </c>
      <c r="F2">
        <v>2400</v>
      </c>
    </row>
    <row r="3" ht="14.25" spans="1:6">
      <c r="A3" s="13" t="s">
        <v>166</v>
      </c>
      <c r="B3" s="14">
        <v>5</v>
      </c>
      <c r="E3" t="s">
        <v>167</v>
      </c>
      <c r="F3">
        <v>100</v>
      </c>
    </row>
    <row r="4" spans="1:2">
      <c r="A4" s="15" t="s">
        <v>168</v>
      </c>
      <c r="B4" s="14">
        <v>0</v>
      </c>
    </row>
    <row r="5" spans="1:2">
      <c r="A5" s="13" t="s">
        <v>169</v>
      </c>
      <c r="B5" s="14">
        <v>10000</v>
      </c>
    </row>
    <row r="6" spans="1:2">
      <c r="A6" s="16" t="s">
        <v>170</v>
      </c>
      <c r="B6" s="17">
        <v>0.9</v>
      </c>
    </row>
    <row r="7" spans="1:2">
      <c r="A7" s="2" t="s">
        <v>171</v>
      </c>
      <c r="B7" s="18">
        <v>500000</v>
      </c>
    </row>
    <row r="8" spans="1:2">
      <c r="A8" s="2" t="s">
        <v>172</v>
      </c>
      <c r="B8" s="18">
        <f>B7/B5</f>
        <v>50</v>
      </c>
    </row>
    <row r="9" spans="1:2">
      <c r="A9" s="2" t="s">
        <v>173</v>
      </c>
      <c r="B9" s="18">
        <f>B8*2500*2</f>
        <v>250000</v>
      </c>
    </row>
    <row r="10" spans="1:2">
      <c r="A10" s="2" t="s">
        <v>174</v>
      </c>
      <c r="B10" s="18">
        <f>B6*B9</f>
        <v>225000</v>
      </c>
    </row>
    <row r="11" spans="1:2">
      <c r="A11" s="2" t="s">
        <v>175</v>
      </c>
      <c r="B11" s="18">
        <f>F2*B8</f>
        <v>120000</v>
      </c>
    </row>
    <row r="12" spans="1:2">
      <c r="A12" s="2" t="s">
        <v>176</v>
      </c>
      <c r="B12" s="2">
        <f>B10-B11</f>
        <v>105000</v>
      </c>
    </row>
    <row r="13" spans="1:2">
      <c r="A13" s="2" t="s">
        <v>177</v>
      </c>
      <c r="B13" s="2">
        <f>B2/B3</f>
        <v>30000</v>
      </c>
    </row>
    <row r="14" spans="1:2">
      <c r="A14" s="2" t="s">
        <v>178</v>
      </c>
      <c r="B14" s="2">
        <f>B12-B13</f>
        <v>75000</v>
      </c>
    </row>
    <row r="17" spans="1:1">
      <c r="A17" t="s">
        <v>179</v>
      </c>
    </row>
    <row r="18" spans="1:7">
      <c r="A18" s="2" t="s">
        <v>4</v>
      </c>
      <c r="B18" s="2">
        <v>0</v>
      </c>
      <c r="C18" s="2">
        <v>1</v>
      </c>
      <c r="D18" s="2">
        <v>2</v>
      </c>
      <c r="E18" s="2">
        <v>3</v>
      </c>
      <c r="F18" s="2">
        <v>4</v>
      </c>
      <c r="G18" s="2">
        <v>5</v>
      </c>
    </row>
    <row r="19" spans="1:7">
      <c r="A19" s="2" t="s">
        <v>180</v>
      </c>
      <c r="B19" s="2">
        <v>150000</v>
      </c>
      <c r="C19" s="2"/>
      <c r="D19" s="2"/>
      <c r="E19" s="2"/>
      <c r="F19" s="2"/>
      <c r="G19" s="2"/>
    </row>
    <row r="20" spans="1:7">
      <c r="A20" s="2" t="s">
        <v>181</v>
      </c>
      <c r="B20" s="2"/>
      <c r="C20" s="2">
        <f>B14</f>
        <v>75000</v>
      </c>
      <c r="D20" s="2">
        <f>C20</f>
        <v>75000</v>
      </c>
      <c r="E20" s="2">
        <f>D20</f>
        <v>75000</v>
      </c>
      <c r="F20" s="2">
        <f>E20</f>
        <v>75000</v>
      </c>
      <c r="G20" s="2">
        <f>F20</f>
        <v>75000</v>
      </c>
    </row>
    <row r="21" spans="1:7">
      <c r="A21" s="2" t="s">
        <v>182</v>
      </c>
      <c r="B21" s="2">
        <f>B19</f>
        <v>150000</v>
      </c>
      <c r="C21" s="2">
        <f>C20</f>
        <v>75000</v>
      </c>
      <c r="D21" s="2">
        <f>D20</f>
        <v>75000</v>
      </c>
      <c r="E21" s="2">
        <f>E20</f>
        <v>75000</v>
      </c>
      <c r="F21" s="2">
        <f>F20</f>
        <v>75000</v>
      </c>
      <c r="G21" s="2">
        <f>G20</f>
        <v>75000</v>
      </c>
    </row>
    <row r="22" spans="1:2">
      <c r="A22" t="s">
        <v>27</v>
      </c>
      <c r="B22" s="6">
        <v>0.2</v>
      </c>
    </row>
    <row r="23" spans="1:2">
      <c r="A23" t="s">
        <v>183</v>
      </c>
      <c r="B23" s="19">
        <f>NPV(B22,B21:G21)</f>
        <v>311913.258744856</v>
      </c>
    </row>
    <row r="26" spans="1:1">
      <c r="A26" t="s">
        <v>184</v>
      </c>
    </row>
    <row r="27" spans="1:2">
      <c r="A27" s="2" t="s">
        <v>185</v>
      </c>
      <c r="B27" s="2">
        <f>B7</f>
        <v>500000</v>
      </c>
    </row>
    <row r="28" spans="1:2">
      <c r="A28" s="2" t="s">
        <v>186</v>
      </c>
      <c r="B28" s="2">
        <v>0.35</v>
      </c>
    </row>
    <row r="29" spans="1:2">
      <c r="A29" s="2" t="s">
        <v>187</v>
      </c>
      <c r="B29" s="2">
        <f>B27*B28</f>
        <v>175000</v>
      </c>
    </row>
    <row r="32" spans="1:1">
      <c r="A32" t="s">
        <v>179</v>
      </c>
    </row>
    <row r="33" spans="1:7">
      <c r="A33" s="2" t="s">
        <v>4</v>
      </c>
      <c r="B33" s="2">
        <v>0</v>
      </c>
      <c r="C33" s="2">
        <v>1</v>
      </c>
      <c r="D33" s="2">
        <v>2</v>
      </c>
      <c r="E33" s="2">
        <v>3</v>
      </c>
      <c r="F33" s="2">
        <v>4</v>
      </c>
      <c r="G33" s="2">
        <v>5</v>
      </c>
    </row>
    <row r="34" spans="1:7">
      <c r="A34" s="2" t="s">
        <v>180</v>
      </c>
      <c r="B34" s="2">
        <v>0</v>
      </c>
      <c r="C34" s="2"/>
      <c r="D34" s="2"/>
      <c r="E34" s="2"/>
      <c r="F34" s="2"/>
      <c r="G34" s="2"/>
    </row>
    <row r="35" spans="1:7">
      <c r="A35" s="2" t="s">
        <v>181</v>
      </c>
      <c r="B35" s="2"/>
      <c r="C35" s="2">
        <f>B29</f>
        <v>175000</v>
      </c>
      <c r="D35" s="2">
        <f t="shared" ref="D35:G35" si="0">C35</f>
        <v>175000</v>
      </c>
      <c r="E35" s="2">
        <f t="shared" si="0"/>
        <v>175000</v>
      </c>
      <c r="F35" s="2">
        <f t="shared" si="0"/>
        <v>175000</v>
      </c>
      <c r="G35" s="2">
        <f t="shared" si="0"/>
        <v>175000</v>
      </c>
    </row>
    <row r="36" spans="1:7">
      <c r="A36" s="2" t="s">
        <v>182</v>
      </c>
      <c r="B36" s="2">
        <f>B34</f>
        <v>0</v>
      </c>
      <c r="C36" s="2">
        <f t="shared" ref="C36:G36" si="1">C35</f>
        <v>175000</v>
      </c>
      <c r="D36" s="2">
        <f t="shared" si="1"/>
        <v>175000</v>
      </c>
      <c r="E36" s="2">
        <f t="shared" si="1"/>
        <v>175000</v>
      </c>
      <c r="F36" s="2">
        <f t="shared" si="1"/>
        <v>175000</v>
      </c>
      <c r="G36" s="2">
        <f t="shared" si="1"/>
        <v>175000</v>
      </c>
    </row>
    <row r="37" spans="1:2">
      <c r="A37" t="s">
        <v>27</v>
      </c>
      <c r="B37" s="6">
        <v>0.2</v>
      </c>
    </row>
    <row r="38" spans="1:2">
      <c r="A38" t="s">
        <v>183</v>
      </c>
      <c r="B38" s="19">
        <f>NPV(B37,B36:G36)</f>
        <v>436130.937071331</v>
      </c>
    </row>
    <row r="40" spans="1:1">
      <c r="A40" t="s">
        <v>188</v>
      </c>
    </row>
    <row r="42" spans="1:1">
      <c r="A42" t="s">
        <v>189</v>
      </c>
    </row>
    <row r="43" spans="1:2">
      <c r="A43" t="s">
        <v>175</v>
      </c>
      <c r="B43" t="s">
        <v>190</v>
      </c>
    </row>
    <row r="44" spans="1:2">
      <c r="A44" t="s">
        <v>191</v>
      </c>
      <c r="B44" t="s">
        <v>192</v>
      </c>
    </row>
    <row r="45" spans="1:2">
      <c r="A45" t="s">
        <v>193</v>
      </c>
      <c r="B45">
        <v>2.991</v>
      </c>
    </row>
    <row r="46" spans="1:2">
      <c r="A46" t="s">
        <v>194</v>
      </c>
      <c r="B46" t="s">
        <v>195</v>
      </c>
    </row>
    <row r="47" spans="1:8">
      <c r="A47" t="s">
        <v>196</v>
      </c>
      <c r="H47" s="1">
        <f>B38-B19</f>
        <v>286130.937071331</v>
      </c>
    </row>
    <row r="49" spans="1:8">
      <c r="A49" t="s">
        <v>197</v>
      </c>
      <c r="H49" s="1">
        <f>286130.94/2.991</f>
        <v>95663.9719157472</v>
      </c>
    </row>
    <row r="50" spans="1:8">
      <c r="A50" t="s">
        <v>198</v>
      </c>
      <c r="H50">
        <f>195000-H49</f>
        <v>99336.0280842528</v>
      </c>
    </row>
    <row r="51" spans="1:8">
      <c r="A51" t="s">
        <v>199</v>
      </c>
      <c r="H51">
        <f>H50/2400</f>
        <v>41.390011701772</v>
      </c>
    </row>
    <row r="52" spans="1:1">
      <c r="A52" t="s">
        <v>200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opLeftCell="A10" workbookViewId="0">
      <selection activeCell="E23" sqref="E23"/>
    </sheetView>
  </sheetViews>
  <sheetFormatPr defaultColWidth="9" defaultRowHeight="13.5" outlineLevelCol="5"/>
  <cols>
    <col min="1" max="1" width="18.375" customWidth="1"/>
    <col min="2" max="2" width="19.25" customWidth="1"/>
    <col min="5" max="5" width="20.25" customWidth="1"/>
    <col min="6" max="6" width="23" customWidth="1"/>
  </cols>
  <sheetData>
    <row r="1" spans="1:5">
      <c r="A1" t="s">
        <v>201</v>
      </c>
      <c r="E1" t="s">
        <v>202</v>
      </c>
    </row>
    <row r="2" spans="1:6">
      <c r="A2" s="2" t="s">
        <v>203</v>
      </c>
      <c r="B2" s="2">
        <v>5000</v>
      </c>
      <c r="E2" s="2" t="s">
        <v>203</v>
      </c>
      <c r="F2" s="2">
        <v>2000</v>
      </c>
    </row>
    <row r="3" spans="1:6">
      <c r="A3" s="2" t="s">
        <v>74</v>
      </c>
      <c r="B3" s="2">
        <v>300</v>
      </c>
      <c r="E3" s="2" t="s">
        <v>74</v>
      </c>
      <c r="F3" s="2">
        <v>150</v>
      </c>
    </row>
    <row r="4" spans="1:6">
      <c r="A4" s="2" t="s">
        <v>204</v>
      </c>
      <c r="B4" s="2">
        <v>10</v>
      </c>
      <c r="E4" s="2" t="s">
        <v>204</v>
      </c>
      <c r="F4" s="2">
        <v>10</v>
      </c>
    </row>
    <row r="5" spans="1:6">
      <c r="A5" s="2" t="s">
        <v>205</v>
      </c>
      <c r="B5" s="2">
        <f>(B2-B3)/B4</f>
        <v>470</v>
      </c>
      <c r="E5" s="2" t="s">
        <v>205</v>
      </c>
      <c r="F5" s="2">
        <f>(F2-F3)/F4</f>
        <v>185</v>
      </c>
    </row>
    <row r="6" spans="1:6">
      <c r="A6" s="2" t="s">
        <v>206</v>
      </c>
      <c r="B6" s="2">
        <v>200</v>
      </c>
      <c r="E6" s="2" t="s">
        <v>207</v>
      </c>
      <c r="F6" s="2">
        <v>1.5</v>
      </c>
    </row>
    <row r="7" spans="1:6">
      <c r="A7" s="2" t="s">
        <v>207</v>
      </c>
      <c r="B7" s="2">
        <v>0.8</v>
      </c>
      <c r="E7" s="2" t="s">
        <v>208</v>
      </c>
      <c r="F7" s="2" t="s">
        <v>209</v>
      </c>
    </row>
    <row r="8" spans="1:6">
      <c r="A8" s="2" t="s">
        <v>208</v>
      </c>
      <c r="B8" s="2" t="s">
        <v>209</v>
      </c>
      <c r="E8" s="2" t="s">
        <v>210</v>
      </c>
      <c r="F8" s="2" t="s">
        <v>211</v>
      </c>
    </row>
    <row r="9" spans="1:6">
      <c r="A9" s="2" t="s">
        <v>210</v>
      </c>
      <c r="B9" s="2" t="s">
        <v>212</v>
      </c>
      <c r="E9" s="2" t="s">
        <v>213</v>
      </c>
      <c r="F9" s="2" t="s">
        <v>214</v>
      </c>
    </row>
    <row r="10" spans="1:2">
      <c r="A10" s="2" t="s">
        <v>213</v>
      </c>
      <c r="B10" s="2" t="s">
        <v>215</v>
      </c>
    </row>
    <row r="14" spans="1:1">
      <c r="A14" t="s">
        <v>216</v>
      </c>
    </row>
    <row r="15" spans="1:2">
      <c r="A15" t="s">
        <v>217</v>
      </c>
      <c r="B15">
        <f>B2-F2</f>
        <v>3000</v>
      </c>
    </row>
    <row r="16" spans="1:2">
      <c r="A16" t="s">
        <v>218</v>
      </c>
      <c r="B16" s="10" t="s">
        <v>219</v>
      </c>
    </row>
    <row r="17" spans="1:2">
      <c r="A17" t="s">
        <v>220</v>
      </c>
      <c r="B17">
        <v>10</v>
      </c>
    </row>
    <row r="18" spans="1:2">
      <c r="A18" t="s">
        <v>27</v>
      </c>
      <c r="B18" s="6">
        <v>0.12</v>
      </c>
    </row>
    <row r="19" spans="1:2">
      <c r="A19" t="s">
        <v>221</v>
      </c>
      <c r="B19">
        <v>5.65</v>
      </c>
    </row>
    <row r="21" spans="1:5">
      <c r="A21" t="s">
        <v>222</v>
      </c>
      <c r="B21" t="s">
        <v>223</v>
      </c>
      <c r="E21" s="1">
        <f>B15/B19</f>
        <v>530.973451327434</v>
      </c>
    </row>
    <row r="22" spans="1:5">
      <c r="A22" t="s">
        <v>224</v>
      </c>
      <c r="B22" t="s">
        <v>225</v>
      </c>
      <c r="E22" s="1">
        <f>E21-85</f>
        <v>445.973451327434</v>
      </c>
    </row>
    <row r="23" spans="1:5">
      <c r="A23" t="s">
        <v>226</v>
      </c>
      <c r="E23" s="1">
        <f>E22/0.7</f>
        <v>637.104930467762</v>
      </c>
    </row>
    <row r="24" spans="1:1">
      <c r="A24" t="s">
        <v>227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20"/>
  <sheetViews>
    <sheetView workbookViewId="0">
      <selection activeCell="J26" sqref="J26"/>
    </sheetView>
  </sheetViews>
  <sheetFormatPr defaultColWidth="9" defaultRowHeight="13.5"/>
  <cols>
    <col min="1" max="1" width="12" customWidth="1"/>
    <col min="6" max="6" width="16.375" customWidth="1"/>
    <col min="12" max="12" width="33.875" customWidth="1"/>
    <col min="13" max="13" width="9.875" customWidth="1"/>
  </cols>
  <sheetData>
    <row r="2" spans="1:12">
      <c r="A2" t="s">
        <v>228</v>
      </c>
      <c r="F2" t="s">
        <v>229</v>
      </c>
      <c r="L2" t="s">
        <v>230</v>
      </c>
    </row>
    <row r="3" spans="1:8">
      <c r="A3" s="2" t="s">
        <v>231</v>
      </c>
      <c r="B3" s="2">
        <v>20000</v>
      </c>
      <c r="C3" s="2"/>
      <c r="F3" s="2" t="s">
        <v>231</v>
      </c>
      <c r="G3" s="2">
        <v>12000</v>
      </c>
      <c r="H3" s="2"/>
    </row>
    <row r="4" spans="1:9">
      <c r="A4" s="9" t="s">
        <v>232</v>
      </c>
      <c r="B4" s="2">
        <v>0.7</v>
      </c>
      <c r="C4" s="2">
        <v>8000</v>
      </c>
      <c r="D4" t="s">
        <v>233</v>
      </c>
      <c r="F4" s="9" t="s">
        <v>232</v>
      </c>
      <c r="G4" s="2">
        <v>0.7</v>
      </c>
      <c r="H4" s="2">
        <v>3500</v>
      </c>
      <c r="I4" t="s">
        <v>233</v>
      </c>
    </row>
    <row r="5" spans="1:9">
      <c r="A5" s="9"/>
      <c r="B5" s="2">
        <v>0.3</v>
      </c>
      <c r="C5" s="2">
        <v>-2000</v>
      </c>
      <c r="D5" t="s">
        <v>234</v>
      </c>
      <c r="F5" s="9"/>
      <c r="G5" s="2">
        <v>0.3</v>
      </c>
      <c r="H5" s="2">
        <v>2500</v>
      </c>
      <c r="I5" t="s">
        <v>234</v>
      </c>
    </row>
    <row r="6" spans="1:8">
      <c r="A6" s="2" t="s">
        <v>235</v>
      </c>
      <c r="B6" s="2">
        <f>B4*C4+B5*C5</f>
        <v>5000</v>
      </c>
      <c r="C6" s="2"/>
      <c r="F6" s="2" t="s">
        <v>235</v>
      </c>
      <c r="G6" s="2">
        <f>G4*H4+G5*H5</f>
        <v>3200</v>
      </c>
      <c r="H6" s="2"/>
    </row>
    <row r="8" spans="1:12">
      <c r="A8" t="s">
        <v>236</v>
      </c>
      <c r="F8" t="s">
        <v>237</v>
      </c>
      <c r="L8" t="s">
        <v>238</v>
      </c>
    </row>
    <row r="10" spans="1:13">
      <c r="A10" t="s">
        <v>4</v>
      </c>
      <c r="B10" t="s">
        <v>3</v>
      </c>
      <c r="F10" t="s">
        <v>4</v>
      </c>
      <c r="G10" t="s">
        <v>3</v>
      </c>
      <c r="L10" t="s">
        <v>4</v>
      </c>
      <c r="M10" t="s">
        <v>3</v>
      </c>
    </row>
    <row r="11" spans="1:13">
      <c r="A11" s="2">
        <v>0</v>
      </c>
      <c r="B11" s="2">
        <v>-20000</v>
      </c>
      <c r="F11" s="2">
        <v>0</v>
      </c>
      <c r="G11" s="2">
        <v>-12000</v>
      </c>
      <c r="L11" s="2">
        <v>0</v>
      </c>
      <c r="M11" s="2">
        <v>-12000</v>
      </c>
    </row>
    <row r="12" spans="1:13">
      <c r="A12" s="2">
        <v>1</v>
      </c>
      <c r="B12" s="2">
        <v>5000</v>
      </c>
      <c r="F12" s="2">
        <v>1</v>
      </c>
      <c r="G12" s="2">
        <f>G6</f>
        <v>3200</v>
      </c>
      <c r="L12" s="2">
        <v>1</v>
      </c>
      <c r="M12" s="2">
        <f>G12</f>
        <v>3200</v>
      </c>
    </row>
    <row r="13" spans="1:13">
      <c r="A13" s="2">
        <v>2</v>
      </c>
      <c r="B13" s="2">
        <v>5000</v>
      </c>
      <c r="F13" s="2">
        <v>2</v>
      </c>
      <c r="G13" s="2">
        <f>G12</f>
        <v>3200</v>
      </c>
      <c r="L13" s="2">
        <v>2</v>
      </c>
      <c r="M13" s="2">
        <f t="shared" ref="M13:M19" si="0">M12</f>
        <v>3200</v>
      </c>
    </row>
    <row r="14" spans="1:13">
      <c r="A14" s="2">
        <v>3</v>
      </c>
      <c r="B14" s="2">
        <v>5000</v>
      </c>
      <c r="F14" s="2">
        <v>3</v>
      </c>
      <c r="G14" s="2">
        <f t="shared" ref="G14:G19" si="1">G13</f>
        <v>3200</v>
      </c>
      <c r="L14" s="2">
        <v>3</v>
      </c>
      <c r="M14" s="2">
        <f>8000-15000</f>
        <v>-7000</v>
      </c>
    </row>
    <row r="15" spans="1:13">
      <c r="A15" s="2">
        <v>4</v>
      </c>
      <c r="B15" s="2">
        <v>5000</v>
      </c>
      <c r="F15" s="2">
        <v>4</v>
      </c>
      <c r="G15" s="2">
        <f t="shared" si="1"/>
        <v>3200</v>
      </c>
      <c r="L15" s="2">
        <v>4</v>
      </c>
      <c r="M15" s="2">
        <v>8000</v>
      </c>
    </row>
    <row r="16" spans="1:13">
      <c r="A16" s="2">
        <v>5</v>
      </c>
      <c r="B16" s="2">
        <v>5000</v>
      </c>
      <c r="F16" s="2">
        <v>5</v>
      </c>
      <c r="G16" s="2">
        <f t="shared" si="1"/>
        <v>3200</v>
      </c>
      <c r="L16" s="2">
        <v>5</v>
      </c>
      <c r="M16" s="2">
        <f t="shared" si="0"/>
        <v>8000</v>
      </c>
    </row>
    <row r="17" spans="1:13">
      <c r="A17" s="2">
        <v>6</v>
      </c>
      <c r="B17" s="2">
        <v>5000</v>
      </c>
      <c r="F17" s="2">
        <v>6</v>
      </c>
      <c r="G17" s="2">
        <f t="shared" si="1"/>
        <v>3200</v>
      </c>
      <c r="L17" s="2">
        <v>6</v>
      </c>
      <c r="M17" s="2">
        <f t="shared" si="0"/>
        <v>8000</v>
      </c>
    </row>
    <row r="18" spans="1:13">
      <c r="A18" s="2">
        <v>7</v>
      </c>
      <c r="B18" s="2">
        <v>5000</v>
      </c>
      <c r="F18" s="2">
        <v>7</v>
      </c>
      <c r="G18" s="2">
        <f t="shared" si="1"/>
        <v>3200</v>
      </c>
      <c r="L18" s="2">
        <v>7</v>
      </c>
      <c r="M18" s="2">
        <f t="shared" si="0"/>
        <v>8000</v>
      </c>
    </row>
    <row r="19" spans="1:13">
      <c r="A19" s="2">
        <v>8</v>
      </c>
      <c r="B19" s="2">
        <v>5000</v>
      </c>
      <c r="F19" s="2">
        <v>8</v>
      </c>
      <c r="G19" s="2">
        <f t="shared" si="1"/>
        <v>3200</v>
      </c>
      <c r="L19" s="2">
        <v>8</v>
      </c>
      <c r="M19" s="2">
        <f t="shared" si="0"/>
        <v>8000</v>
      </c>
    </row>
    <row r="20" spans="1:13">
      <c r="A20" s="2" t="s">
        <v>239</v>
      </c>
      <c r="B20" s="2">
        <f>SUM(B11:B19)</f>
        <v>20000</v>
      </c>
      <c r="F20" s="2" t="s">
        <v>240</v>
      </c>
      <c r="G20" s="2">
        <f>SUM(G11:G19)</f>
        <v>13600</v>
      </c>
      <c r="L20" s="2" t="s">
        <v>240</v>
      </c>
      <c r="M20" s="2">
        <f>SUM(M11:M19)</f>
        <v>27400</v>
      </c>
    </row>
  </sheetData>
  <mergeCells count="2">
    <mergeCell ref="A4:A5"/>
    <mergeCell ref="F4:F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46"/>
  <sheetViews>
    <sheetView tabSelected="1" topLeftCell="A13" workbookViewId="0">
      <selection activeCell="H48" sqref="H48"/>
    </sheetView>
  </sheetViews>
  <sheetFormatPr defaultColWidth="9" defaultRowHeight="13.5"/>
  <cols>
    <col min="1" max="1" width="18.25" customWidth="1"/>
    <col min="2" max="2" width="13.75"/>
    <col min="3" max="8" width="12.625"/>
  </cols>
  <sheetData>
    <row r="2" spans="1:11">
      <c r="A2" t="s">
        <v>241</v>
      </c>
      <c r="G2" t="s">
        <v>242</v>
      </c>
      <c r="K2" t="s">
        <v>243</v>
      </c>
    </row>
    <row r="3" spans="1:12">
      <c r="A3" t="s">
        <v>8</v>
      </c>
      <c r="B3">
        <v>40</v>
      </c>
      <c r="G3" t="s">
        <v>73</v>
      </c>
      <c r="H3">
        <v>5000</v>
      </c>
      <c r="K3" t="s">
        <v>73</v>
      </c>
      <c r="L3">
        <v>300</v>
      </c>
    </row>
    <row r="4" spans="1:12">
      <c r="A4" t="s">
        <v>6</v>
      </c>
      <c r="B4">
        <v>45</v>
      </c>
      <c r="G4" t="s">
        <v>76</v>
      </c>
      <c r="H4">
        <v>6</v>
      </c>
      <c r="K4" t="s">
        <v>244</v>
      </c>
      <c r="L4">
        <v>6</v>
      </c>
    </row>
    <row r="5" spans="1:12">
      <c r="A5" t="s">
        <v>245</v>
      </c>
      <c r="B5">
        <f>B3*B4</f>
        <v>1800</v>
      </c>
      <c r="G5" t="s">
        <v>74</v>
      </c>
      <c r="H5">
        <v>0</v>
      </c>
      <c r="K5" t="s">
        <v>74</v>
      </c>
      <c r="L5">
        <v>0</v>
      </c>
    </row>
    <row r="6" spans="1:12">
      <c r="A6" t="s">
        <v>89</v>
      </c>
      <c r="B6">
        <v>14</v>
      </c>
      <c r="G6" t="s">
        <v>78</v>
      </c>
      <c r="H6" s="1">
        <f>H3/H4</f>
        <v>833.333333333333</v>
      </c>
      <c r="K6" t="s">
        <v>246</v>
      </c>
      <c r="L6">
        <f>L3/L4</f>
        <v>50</v>
      </c>
    </row>
    <row r="7" spans="1:2">
      <c r="A7" t="s">
        <v>247</v>
      </c>
      <c r="B7">
        <f>B6*B4</f>
        <v>630</v>
      </c>
    </row>
    <row r="8" spans="1:2">
      <c r="A8" t="s">
        <v>16</v>
      </c>
      <c r="B8">
        <v>100</v>
      </c>
    </row>
    <row r="9" spans="1:2">
      <c r="A9" t="s">
        <v>248</v>
      </c>
      <c r="B9">
        <f>B7+B8</f>
        <v>730</v>
      </c>
    </row>
    <row r="10" spans="1:2">
      <c r="A10" t="s">
        <v>249</v>
      </c>
      <c r="B10" s="1">
        <f>H6+L6</f>
        <v>883.333333333333</v>
      </c>
    </row>
    <row r="11" spans="1:2">
      <c r="A11" t="s">
        <v>250</v>
      </c>
      <c r="B11" s="1">
        <f>B5-B9-B10</f>
        <v>186.666666666667</v>
      </c>
    </row>
    <row r="12" spans="1:2">
      <c r="A12" t="s">
        <v>251</v>
      </c>
      <c r="B12" s="1">
        <f>B11*0.2</f>
        <v>37.3333333333333</v>
      </c>
    </row>
    <row r="13" spans="1:2">
      <c r="A13" t="s">
        <v>252</v>
      </c>
      <c r="B13" s="1">
        <f>B11-B12</f>
        <v>149.333333333333</v>
      </c>
    </row>
    <row r="14" spans="1:2">
      <c r="A14" t="s">
        <v>253</v>
      </c>
      <c r="B14" s="1">
        <f>B13+B10</f>
        <v>1032.66666666667</v>
      </c>
    </row>
    <row r="16" spans="1:1">
      <c r="A16" t="s">
        <v>254</v>
      </c>
    </row>
    <row r="17" spans="1:8">
      <c r="A17" s="2" t="s">
        <v>4</v>
      </c>
      <c r="B17" s="2">
        <v>0</v>
      </c>
      <c r="C17" s="2">
        <v>1</v>
      </c>
      <c r="D17" s="2">
        <v>2</v>
      </c>
      <c r="E17" s="2">
        <v>3</v>
      </c>
      <c r="F17" s="2">
        <v>4</v>
      </c>
      <c r="G17" s="2">
        <v>5</v>
      </c>
      <c r="H17" s="2">
        <v>6</v>
      </c>
    </row>
    <row r="18" spans="1:8">
      <c r="A18" s="2" t="s">
        <v>119</v>
      </c>
      <c r="B18" s="2">
        <v>5300</v>
      </c>
      <c r="C18" s="2"/>
      <c r="D18" s="2"/>
      <c r="E18" s="2"/>
      <c r="F18" s="2"/>
      <c r="G18" s="2"/>
      <c r="H18" s="2"/>
    </row>
    <row r="19" spans="1:8">
      <c r="A19" s="2" t="s">
        <v>255</v>
      </c>
      <c r="B19" s="2">
        <v>50</v>
      </c>
      <c r="C19" s="2"/>
      <c r="D19" s="2"/>
      <c r="E19" s="2"/>
      <c r="F19" s="2"/>
      <c r="G19" s="2"/>
      <c r="H19" s="2"/>
    </row>
    <row r="20" spans="1:8">
      <c r="A20" s="2" t="s">
        <v>253</v>
      </c>
      <c r="B20" s="2"/>
      <c r="C20" s="3">
        <f>B14</f>
        <v>1032.66666666667</v>
      </c>
      <c r="D20" s="3">
        <f>C20</f>
        <v>1032.66666666667</v>
      </c>
      <c r="E20" s="3">
        <f>D20</f>
        <v>1032.66666666667</v>
      </c>
      <c r="F20" s="3">
        <f>E20</f>
        <v>1032.66666666667</v>
      </c>
      <c r="G20" s="3">
        <f>F20</f>
        <v>1032.66666666667</v>
      </c>
      <c r="H20" s="3">
        <f>G20</f>
        <v>1032.66666666667</v>
      </c>
    </row>
    <row r="21" spans="1:8">
      <c r="A21" s="2" t="s">
        <v>256</v>
      </c>
      <c r="B21" s="2"/>
      <c r="C21" s="2"/>
      <c r="D21" s="2"/>
      <c r="E21" s="2"/>
      <c r="F21" s="2"/>
      <c r="G21" s="2"/>
      <c r="H21" s="2">
        <f>B19</f>
        <v>50</v>
      </c>
    </row>
    <row r="22" spans="1:8">
      <c r="A22" s="2" t="s">
        <v>9</v>
      </c>
      <c r="B22" s="2">
        <f>0-SUM(B18:B19)</f>
        <v>-5350</v>
      </c>
      <c r="C22" s="3">
        <f>C20+C21</f>
        <v>1032.66666666667</v>
      </c>
      <c r="D22" s="3">
        <f>D20+D21</f>
        <v>1032.66666666667</v>
      </c>
      <c r="E22" s="3">
        <f>E20+E21</f>
        <v>1032.66666666667</v>
      </c>
      <c r="F22" s="3">
        <f>F20+F21</f>
        <v>1032.66666666667</v>
      </c>
      <c r="G22" s="3">
        <f>G20+G21</f>
        <v>1032.66666666667</v>
      </c>
      <c r="H22" s="3">
        <f>H20+H21</f>
        <v>1082.66666666667</v>
      </c>
    </row>
    <row r="23" spans="1:2">
      <c r="A23" t="s">
        <v>27</v>
      </c>
      <c r="B23" s="4">
        <f>B46</f>
        <v>0.150152671755725</v>
      </c>
    </row>
    <row r="24" spans="1:4">
      <c r="A24" t="s">
        <v>257</v>
      </c>
      <c r="B24" s="5">
        <f>NPV(B23,B22:H22)</f>
        <v>-1236.26899944159</v>
      </c>
      <c r="C24" t="s">
        <v>153</v>
      </c>
      <c r="D24">
        <v>0</v>
      </c>
    </row>
    <row r="25" spans="1:4">
      <c r="A25" t="s">
        <v>154</v>
      </c>
      <c r="B25" s="6">
        <f>IRR(B22:H22,)</f>
        <v>0.0458496502194305</v>
      </c>
      <c r="C25" t="s">
        <v>153</v>
      </c>
      <c r="D25" s="6">
        <v>0.15</v>
      </c>
    </row>
    <row r="26" spans="1:1">
      <c r="A26" t="s">
        <v>258</v>
      </c>
    </row>
    <row r="28" spans="1:1">
      <c r="A28" t="s">
        <v>259</v>
      </c>
    </row>
    <row r="29" spans="1:2">
      <c r="A29" s="2" t="s">
        <v>260</v>
      </c>
      <c r="B29" s="7">
        <v>0.04</v>
      </c>
    </row>
    <row r="30" spans="1:2">
      <c r="A30" s="2" t="s">
        <v>261</v>
      </c>
      <c r="B30" s="7">
        <v>0.08</v>
      </c>
    </row>
    <row r="31" spans="1:2">
      <c r="A31" s="2" t="s">
        <v>262</v>
      </c>
      <c r="B31" s="2">
        <v>1.5</v>
      </c>
    </row>
    <row r="32" spans="1:2">
      <c r="A32" s="2" t="s">
        <v>263</v>
      </c>
      <c r="B32" s="8">
        <f>B29+B31*B30</f>
        <v>0.16</v>
      </c>
    </row>
    <row r="34" spans="1:1">
      <c r="A34" t="s">
        <v>264</v>
      </c>
    </row>
    <row r="35" spans="1:2">
      <c r="A35" s="2" t="s">
        <v>265</v>
      </c>
      <c r="B35" s="7">
        <v>0.1</v>
      </c>
    </row>
    <row r="36" spans="1:2">
      <c r="A36" s="2" t="s">
        <v>19</v>
      </c>
      <c r="B36" s="7">
        <v>0.2</v>
      </c>
    </row>
    <row r="37" spans="1:2">
      <c r="A37" s="2" t="s">
        <v>266</v>
      </c>
      <c r="B37" s="8">
        <f>B35*(1-20%)</f>
        <v>0.08</v>
      </c>
    </row>
    <row r="39" spans="1:3">
      <c r="A39" s="2" t="s">
        <v>2</v>
      </c>
      <c r="B39" s="2" t="s">
        <v>267</v>
      </c>
      <c r="C39" s="2" t="s">
        <v>268</v>
      </c>
    </row>
    <row r="40" spans="1:3">
      <c r="A40" s="2" t="s">
        <v>269</v>
      </c>
      <c r="B40" s="2">
        <f>980*10000</f>
        <v>9800000</v>
      </c>
      <c r="C40" s="8">
        <f>B40/B42</f>
        <v>0.748091603053435</v>
      </c>
    </row>
    <row r="41" spans="1:3">
      <c r="A41" s="2" t="s">
        <v>270</v>
      </c>
      <c r="B41" s="2">
        <v>3300000</v>
      </c>
      <c r="C41" s="8">
        <f>B41/B42</f>
        <v>0.251908396946565</v>
      </c>
    </row>
    <row r="42" spans="1:3">
      <c r="A42" s="2" t="s">
        <v>9</v>
      </c>
      <c r="B42" s="2">
        <f>B40+B41</f>
        <v>13100000</v>
      </c>
      <c r="C42" s="8">
        <v>1</v>
      </c>
    </row>
    <row r="44" spans="1:2">
      <c r="A44" s="2" t="s">
        <v>271</v>
      </c>
      <c r="B44" s="8">
        <f>C40*B37+C41*B32</f>
        <v>0.100152671755725</v>
      </c>
    </row>
    <row r="45" spans="1:2">
      <c r="A45" s="2" t="s">
        <v>272</v>
      </c>
      <c r="B45" s="7">
        <v>0.05</v>
      </c>
    </row>
    <row r="46" spans="1:2">
      <c r="A46" s="2" t="s">
        <v>273</v>
      </c>
      <c r="B46" s="8">
        <f>B45+B44</f>
        <v>0.150152671755725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任务一</vt:lpstr>
      <vt:lpstr>任务二</vt:lpstr>
      <vt:lpstr>任务三</vt:lpstr>
      <vt:lpstr>任务四</vt:lpstr>
      <vt:lpstr>任务五</vt:lpstr>
      <vt:lpstr>任务六</vt:lpstr>
      <vt:lpstr>任务七</vt:lpstr>
      <vt:lpstr>任务八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2023-08-21T07:53:00Z</dcterms:created>
  <dcterms:modified xsi:type="dcterms:W3CDTF">2023-09-06T12:44:20Z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98F9419C95804095B27371187A9644C4_12</vt:lpwstr>
  </property>
  <property fmtid="{D5CDD505-2E9C-101B-9397-08002B2CF9AE}" pid="3" name="KSOProductBuildVer">
    <vt:lpwstr>2052-11.1.0.14309</vt:lpwstr>
  </property>
</Properties>
</file>